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vnd.ms-office.classificationlabels+xml"/>
  <Default Extension="svg" ContentType="image/svg+xml"/>
  <Default Extension="png" ContentType="image/png"/>
  <Default Extension="bin" ContentType="application/vnd.openxmlformats-officedocument.spreadsheetml.printerSettings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61.xml" ContentType="application/vnd.openxmlformats-officedocument.spreadsheetml.table+xml"/>
  <Override PartName="/xl/tables/table112.xml" ContentType="application/vnd.openxmlformats-officedocument.spreadsheetml.table+xml"/>
  <Override PartName="/xl/tables/table13.xml" ContentType="application/vnd.openxmlformats-officedocument.spreadsheetml.table+xml"/>
  <Override PartName="/xl/tables/table54.xml" ContentType="application/vnd.openxmlformats-officedocument.spreadsheetml.table+xml"/>
  <Override PartName="/xl/tables/table105.xml" ContentType="application/vnd.openxmlformats-officedocument.spreadsheetml.tab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tables/table46.xml" ContentType="application/vnd.openxmlformats-officedocument.spreadsheetml.table+xml"/>
  <Override PartName="/xl/tables/table97.xml" ContentType="application/vnd.openxmlformats-officedocument.spreadsheetml.table+xml"/>
  <Override PartName="/xl/tables/table38.xml" ContentType="application/vnd.openxmlformats-officedocument.spreadsheetml.table+xml"/>
  <Override PartName="/xl/tables/table89.xml" ContentType="application/vnd.openxmlformats-officedocument.spreadsheetml.table+xml"/>
  <Override PartName="/xl/tables/table210.xml" ContentType="application/vnd.openxmlformats-officedocument.spreadsheetml.table+xml"/>
  <Override PartName="/xl/tables/table711.xml" ContentType="application/vnd.openxmlformats-officedocument.spreadsheetml.table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thumbnail" Target="/docProps/thumbnail.wmf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6" /><Relationship Type="http://schemas.openxmlformats.org/officeDocument/2006/relationships/extended-properties" Target="/docProps/app.xml" Id="rId5" /><Relationship Type="http://schemas.openxmlformats.org/package/2006/relationships/metadata/core-properties" Target="/docProps/core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 hidePivotFieldList="1"/>
  <xr:revisionPtr revIDLastSave="0" documentId="13_ncr:1_{7FB9A212-8D1B-4576-B48B-C04FD9524148}" xr6:coauthVersionLast="47" xr6:coauthVersionMax="47" xr10:uidLastSave="{00000000-0000-0000-0000-000000000000}"/>
  <bookViews>
    <workbookView xWindow="-120" yWindow="-120" windowWidth="29040" windowHeight="17640" tabRatio="826" xr2:uid="{00000000-000D-0000-FFFF-FFFF00000000}"/>
  </bookViews>
  <sheets>
    <sheet name="Presupuesto para boda" sheetId="3" r:id="rId1"/>
  </sheets>
  <definedNames>
    <definedName name="_xlnm.Print_Area" localSheetId="0">'Presupuesto para boda'!$A:$K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6" i="3" l="1"/>
  <c r="J31" i="3"/>
  <c r="E68" i="3"/>
  <c r="E67" i="3"/>
  <c r="E66" i="3"/>
  <c r="E65" i="3"/>
  <c r="E64" i="3"/>
  <c r="E63" i="3"/>
  <c r="E62" i="3"/>
  <c r="E61" i="3"/>
  <c r="J60" i="3"/>
  <c r="J59" i="3"/>
  <c r="J58" i="3"/>
  <c r="J57" i="3"/>
  <c r="J56" i="3"/>
  <c r="E56" i="3"/>
  <c r="J55" i="3"/>
  <c r="E55" i="3"/>
  <c r="J54" i="3"/>
  <c r="E54" i="3"/>
  <c r="J53" i="3"/>
  <c r="E53" i="3"/>
  <c r="J52" i="3"/>
  <c r="E52" i="3"/>
  <c r="J51" i="3"/>
  <c r="E51" i="3"/>
  <c r="E50" i="3"/>
  <c r="E49" i="3"/>
  <c r="E48" i="3"/>
  <c r="J46" i="3"/>
  <c r="J45" i="3"/>
  <c r="J44" i="3"/>
  <c r="J43" i="3"/>
  <c r="E43" i="3"/>
  <c r="J42" i="3"/>
  <c r="E42" i="3"/>
  <c r="J41" i="3"/>
  <c r="E41" i="3"/>
  <c r="E36" i="3"/>
  <c r="J35" i="3"/>
  <c r="E35" i="3"/>
  <c r="J34" i="3"/>
  <c r="E34" i="3"/>
  <c r="J33" i="3"/>
  <c r="E33" i="3"/>
  <c r="J32" i="3"/>
  <c r="E28" i="3"/>
  <c r="E27" i="3"/>
  <c r="J26" i="3"/>
  <c r="E26" i="3"/>
  <c r="J25" i="3"/>
  <c r="E25" i="3"/>
  <c r="J24" i="3"/>
  <c r="E24" i="3"/>
  <c r="J23" i="3"/>
  <c r="E23" i="3"/>
  <c r="J22" i="3"/>
  <c r="E22" i="3"/>
  <c r="J21" i="3"/>
  <c r="E21" i="3"/>
  <c r="J68" i="3"/>
  <c r="J67" i="3"/>
  <c r="J66" i="3"/>
  <c r="J65" i="3"/>
  <c r="J69" i="3" s="1"/>
  <c r="D29" i="3"/>
  <c r="P6" i="3" s="1"/>
  <c r="Q6" i="3" s="1"/>
  <c r="I27" i="3"/>
  <c r="P7" i="3" s="1"/>
  <c r="Q7" i="3" s="1"/>
  <c r="D37" i="3"/>
  <c r="P8" i="3" s="1"/>
  <c r="Q8" i="3" s="1"/>
  <c r="I37" i="3"/>
  <c r="P9" i="3" s="1"/>
  <c r="Q9" i="3" s="1"/>
  <c r="D44" i="3"/>
  <c r="P10" i="3" s="1"/>
  <c r="Q10" i="3" s="1"/>
  <c r="I47" i="3"/>
  <c r="P11" i="3" s="1"/>
  <c r="Q11" i="3" s="1"/>
  <c r="D57" i="3"/>
  <c r="P12" i="3" s="1"/>
  <c r="Q12" i="3" s="1"/>
  <c r="I61" i="3"/>
  <c r="P13" i="3"/>
  <c r="Q13" i="3"/>
  <c r="I69" i="3"/>
  <c r="P14" i="3" s="1"/>
  <c r="Q14" i="3" s="1"/>
  <c r="D69" i="3"/>
  <c r="P15" i="3" s="1"/>
  <c r="Q15" i="3" s="1"/>
  <c r="C29" i="3"/>
  <c r="O6" i="3" s="1"/>
  <c r="H27" i="3"/>
  <c r="O7" i="3" s="1"/>
  <c r="C37" i="3"/>
  <c r="O8" i="3" s="1"/>
  <c r="H37" i="3"/>
  <c r="O9" i="3" s="1"/>
  <c r="C44" i="3"/>
  <c r="O10" i="3" s="1"/>
  <c r="H47" i="3"/>
  <c r="O11" i="3" s="1"/>
  <c r="C57" i="3"/>
  <c r="O12" i="3" s="1"/>
  <c r="H61" i="3"/>
  <c r="O13" i="3" s="1"/>
  <c r="H69" i="3"/>
  <c r="O14" i="3" s="1"/>
  <c r="C69" i="3"/>
  <c r="O15" i="3" s="1"/>
  <c r="E44" i="3" l="1"/>
  <c r="E37" i="3"/>
  <c r="J37" i="3"/>
  <c r="M9" i="3"/>
  <c r="E29" i="3"/>
  <c r="J27" i="3"/>
  <c r="E57" i="3"/>
  <c r="E69" i="3"/>
  <c r="J47" i="3"/>
  <c r="J61" i="3"/>
  <c r="M12" i="3"/>
  <c r="M15" i="3"/>
  <c r="M10" i="3"/>
  <c r="M11" i="3"/>
  <c r="M14" i="3"/>
  <c r="M8" i="3"/>
  <c r="M13" i="3"/>
  <c r="M7" i="3"/>
  <c r="M6" i="3"/>
  <c r="B14" i="3" l="1"/>
  <c r="C15" i="3"/>
  <c r="D10" i="3"/>
  <c r="E10" i="3" s="1"/>
  <c r="D6" i="3"/>
  <c r="C8" i="3"/>
  <c r="D8" i="3"/>
  <c r="E8" i="3" s="1"/>
  <c r="C6" i="3"/>
  <c r="B10" i="3"/>
  <c r="D9" i="3"/>
  <c r="C10" i="3"/>
  <c r="B9" i="3"/>
  <c r="D11" i="3"/>
  <c r="D7" i="3"/>
  <c r="C13" i="3"/>
  <c r="B15" i="3"/>
  <c r="C14" i="3"/>
  <c r="B7" i="3"/>
  <c r="C7" i="3"/>
  <c r="D13" i="3"/>
  <c r="D12" i="3"/>
  <c r="B6" i="3"/>
  <c r="B11" i="3"/>
  <c r="C9" i="3"/>
  <c r="B13" i="3"/>
  <c r="B12" i="3"/>
  <c r="B8" i="3"/>
  <c r="C11" i="3"/>
  <c r="D15" i="3"/>
  <c r="E15" i="3" s="1"/>
  <c r="C12" i="3"/>
  <c r="D14" i="3"/>
  <c r="E7" i="3" l="1"/>
  <c r="E13" i="3"/>
  <c r="E14" i="3"/>
  <c r="E12" i="3"/>
  <c r="E11" i="3"/>
  <c r="E6" i="3"/>
  <c r="E9" i="3"/>
  <c r="C16" i="3"/>
  <c r="D16" i="3"/>
  <c r="E16" i="3" l="1"/>
</calcChain>
</file>

<file path=xl/sharedStrings.xml><?xml version="1.0" encoding="utf-8"?>
<sst xmlns="http://schemas.openxmlformats.org/spreadsheetml/2006/main" count="137" uniqueCount="98">
  <si>
    <t>PRESUPUESTO PARA LA BODA</t>
  </si>
  <si>
    <t>RESUMEN</t>
  </si>
  <si>
    <t>Presupuesto total</t>
  </si>
  <si>
    <t>ROPA</t>
  </si>
  <si>
    <t>Anillo de compromiso</t>
  </si>
  <si>
    <t>Anillos de boda</t>
  </si>
  <si>
    <t>Esmoquin, traje o vestidos</t>
  </si>
  <si>
    <t>Velo/tocado</t>
  </si>
  <si>
    <t>Zapatos</t>
  </si>
  <si>
    <t>Joyas</t>
  </si>
  <si>
    <t>Accesorios</t>
  </si>
  <si>
    <t>Otros</t>
  </si>
  <si>
    <t>Total ropa</t>
  </si>
  <si>
    <t>REGALOS</t>
  </si>
  <si>
    <t>Asistentes</t>
  </si>
  <si>
    <t>Padres</t>
  </si>
  <si>
    <t>Lectores y otros participantes</t>
  </si>
  <si>
    <t>Total regalos</t>
  </si>
  <si>
    <t xml:space="preserve">MÚSICA </t>
  </si>
  <si>
    <t>Músicos para la ceremonia</t>
  </si>
  <si>
    <t>Banda o DJ para la recepción</t>
  </si>
  <si>
    <t>Total música</t>
  </si>
  <si>
    <t>RECEPCIÓN</t>
  </si>
  <si>
    <t>Gastos de habitaciones o sala</t>
  </si>
  <si>
    <t>Mesas y sillas</t>
  </si>
  <si>
    <t>Comida</t>
  </si>
  <si>
    <t>Bebidas</t>
  </si>
  <si>
    <t>Mantelería</t>
  </si>
  <si>
    <t>Tarta</t>
  </si>
  <si>
    <t>Detalles de los novios</t>
  </si>
  <si>
    <t>Personal y compensaciones</t>
  </si>
  <si>
    <t>Total recepción</t>
  </si>
  <si>
    <t>OTROS GASTOS</t>
  </si>
  <si>
    <t>Oficiante</t>
  </si>
  <si>
    <t>Cuota de la iglesia o del sitio de la ceremonia</t>
  </si>
  <si>
    <t>Coordinador de la boda</t>
  </si>
  <si>
    <t>Cena preboda</t>
  </si>
  <si>
    <t>Fiesta de compromiso</t>
  </si>
  <si>
    <t>Duchas</t>
  </si>
  <si>
    <t>Despedida de soltero y de soltera</t>
  </si>
  <si>
    <t>Habitaciones de hotel</t>
  </si>
  <si>
    <t>Total otros gastos</t>
  </si>
  <si>
    <t>ESTIMADO</t>
  </si>
  <si>
    <t>REAL</t>
  </si>
  <si>
    <t>DIFERENCIA</t>
  </si>
  <si>
    <t>RESUMEN DE LOS GASTOS REALES</t>
  </si>
  <si>
    <t>DECORACIONES</t>
  </si>
  <si>
    <t>Lazos para bancos de la iglesia</t>
  </si>
  <si>
    <t>Centros de mesa</t>
  </si>
  <si>
    <t>Velas</t>
  </si>
  <si>
    <t>Iluminación</t>
  </si>
  <si>
    <t>Globos</t>
  </si>
  <si>
    <t>Total adornos</t>
  </si>
  <si>
    <t>FLORES</t>
  </si>
  <si>
    <t>Ramos</t>
  </si>
  <si>
    <t>Flor del novio</t>
  </si>
  <si>
    <t>Ramilletes</t>
  </si>
  <si>
    <t>Ceremonia</t>
  </si>
  <si>
    <t>Recepción</t>
  </si>
  <si>
    <t>Total flores</t>
  </si>
  <si>
    <t>FOTOGRAFÍA</t>
  </si>
  <si>
    <t>Oficiales</t>
  </si>
  <si>
    <t>Candelabros</t>
  </si>
  <si>
    <t>Impresiones adicionales</t>
  </si>
  <si>
    <t>Álbumes de fotos</t>
  </si>
  <si>
    <t>Vídeo</t>
  </si>
  <si>
    <t>Total fotografía</t>
  </si>
  <si>
    <t>IMPRESIÓN Y PAPELERÍA</t>
  </si>
  <si>
    <t>Invitaciones</t>
  </si>
  <si>
    <t>Anuncios</t>
  </si>
  <si>
    <t>Tarjetas de agradecimiento</t>
  </si>
  <si>
    <t>Artículos de papelería personales</t>
  </si>
  <si>
    <t>Libro de invitados</t>
  </si>
  <si>
    <t>Programas</t>
  </si>
  <si>
    <t>Servilletas de la recepción</t>
  </si>
  <si>
    <t>Cajitas de cerillas</t>
  </si>
  <si>
    <t>Caligrafía</t>
  </si>
  <si>
    <t>Total de impresión o papelería</t>
  </si>
  <si>
    <t>TRANSPORTE</t>
  </si>
  <si>
    <t>Limusina/carruaje</t>
  </si>
  <si>
    <t>Aparcamiento</t>
  </si>
  <si>
    <t>Taxis</t>
  </si>
  <si>
    <t>Total transporte</t>
  </si>
  <si>
    <t>Rango</t>
  </si>
  <si>
    <t>Categoría</t>
  </si>
  <si>
    <t>Ropa</t>
  </si>
  <si>
    <t>Decoración</t>
  </si>
  <si>
    <t>Regalos</t>
  </si>
  <si>
    <t>Flores</t>
  </si>
  <si>
    <t>Música</t>
  </si>
  <si>
    <t>Fotografía</t>
  </si>
  <si>
    <t>Impresión o papelería</t>
  </si>
  <si>
    <t>Transporte</t>
  </si>
  <si>
    <t>Otros gastos</t>
  </si>
  <si>
    <t>Estimado</t>
  </si>
  <si>
    <t>Real</t>
  </si>
  <si>
    <t>Valor de clasificación</t>
  </si>
  <si>
    <t>Ref.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</si>
</sst>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1" formatCode="_(* #,##0_);_(* \(#,##0\);_(* &quot;-&quot;_);_(@_)"/>
    <numFmt numFmtId="43" formatCode="_(* #,##0.00_);_(* \(#,##0.00\);_(* &quot;-&quot;??_);_(@_)"/>
    <numFmt numFmtId="176" formatCode="#,##0.00\ &quot;€&quot;;[Red]\-#,##0.00\ &quot;€&quot;"/>
    <numFmt numFmtId="177" formatCode="_-* #,##0\ &quot;€&quot;_-;\-* #,##0\ &quot;€&quot;_-;_-* &quot;-&quot;\ &quot;€&quot;_-;_-@_-"/>
    <numFmt numFmtId="178" formatCode="_-* #,##0.00\ &quot;€&quot;_-;\-* #,##0.00\ &quot;€&quot;_-;_-* &quot;-&quot;??\ &quot;€&quot;_-;_-@_-"/>
    <numFmt numFmtId="179" formatCode="&quot;$&quot;#,##0.00"/>
    <numFmt numFmtId="180" formatCode="0.0000"/>
    <numFmt numFmtId="181" formatCode="#,##0.00\ &quot;€&quot;"/>
    <numFmt numFmtId="182" formatCode="#,##0.00\ &quot;€&quot;;[Red]#,##0.00\ &quot;€&quot;"/>
  </numFmts>
  <fonts count="34" x14ac:knownFonts="1">
    <font>
      <sz val="10"/>
      <name val="Arial"/>
      <family val="2"/>
    </font>
    <font>
      <sz val="11"/>
      <color theme="1"/>
      <name val="Arial"/>
      <family val="2"/>
      <scheme val="minor"/>
    </font>
    <font>
      <sz val="11"/>
      <color theme="1" tint="0.14999847407452621"/>
      <name val="Arial"/>
      <family val="1"/>
      <scheme val="minor"/>
    </font>
    <font>
      <sz val="11"/>
      <color theme="1" tint="0.249977111117893"/>
      <name val="Arial"/>
      <family val="1"/>
      <scheme val="minor"/>
    </font>
    <font>
      <b/>
      <sz val="11"/>
      <color theme="1" tint="0.14999847407452621"/>
      <name val="Arial"/>
      <family val="2"/>
    </font>
    <font>
      <sz val="11"/>
      <color theme="1" tint="0.14999847407452621"/>
      <name val="Arial"/>
      <family val="2"/>
    </font>
    <font>
      <sz val="11"/>
      <color theme="0"/>
      <name val="Arial"/>
      <family val="2"/>
    </font>
    <font>
      <sz val="11"/>
      <name val="Arial"/>
      <family val="2"/>
    </font>
    <font>
      <sz val="11"/>
      <color theme="3" tint="-0.499984740745262"/>
      <name val="Arial"/>
      <family val="2"/>
    </font>
    <font>
      <b/>
      <sz val="11"/>
      <color theme="3"/>
      <name val="Arial"/>
      <family val="2"/>
      <scheme val="minor"/>
    </font>
    <font>
      <b/>
      <sz val="10"/>
      <color theme="3" tint="-0.499984740745262"/>
      <name val="Arial"/>
      <family val="2"/>
      <scheme val="minor"/>
    </font>
    <font>
      <sz val="10"/>
      <color theme="3" tint="-0.499984740745262"/>
      <name val="Arial"/>
      <family val="2"/>
      <scheme val="minor"/>
    </font>
    <font>
      <sz val="11"/>
      <color theme="3"/>
      <name val="Arial"/>
      <family val="2"/>
      <scheme val="minor"/>
    </font>
    <font>
      <sz val="11"/>
      <color theme="3" tint="-0.499984740745262"/>
      <name val="Arial"/>
      <family val="2"/>
      <scheme val="minor"/>
    </font>
    <font>
      <b/>
      <sz val="11"/>
      <color theme="3" tint="-0.499984740745262"/>
      <name val="Arial"/>
      <family val="2"/>
      <scheme val="minor"/>
    </font>
    <font>
      <sz val="11"/>
      <color theme="1" tint="0.14999847407452621"/>
      <name val="Arial"/>
      <family val="2"/>
      <scheme val="minor"/>
    </font>
    <font>
      <sz val="18"/>
      <color theme="3"/>
      <name val="Perpetua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0"/>
      <name val="Arial"/>
      <family val="2"/>
    </font>
    <font>
      <sz val="65"/>
      <color theme="3" tint="-0.249977111117893"/>
      <name val="Perpetua"/>
      <family val="1"/>
      <scheme val="major"/>
    </font>
    <font>
      <sz val="6"/>
      <name val="MS Gothic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43" fontId="31" fillId="0" borderId="0" applyFont="0" applyFill="0" applyBorder="0" applyAlignment="0" applyProtection="0"/>
    <xf numFmtId="41" fontId="31" fillId="0" borderId="0" applyFont="0" applyFill="0" applyBorder="0" applyAlignment="0" applyProtection="0"/>
    <xf numFmtId="178" fontId="31" fillId="0" borderId="0" applyFont="0" applyFill="0" applyBorder="0" applyAlignment="0" applyProtection="0"/>
    <xf numFmtId="177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6" applyNumberFormat="0" applyAlignment="0" applyProtection="0"/>
    <xf numFmtId="0" fontId="23" fillId="7" borderId="7" applyNumberFormat="0" applyAlignment="0" applyProtection="0"/>
    <xf numFmtId="0" fontId="24" fillId="7" borderId="6" applyNumberFormat="0" applyAlignment="0" applyProtection="0"/>
    <xf numFmtId="0" fontId="25" fillId="0" borderId="8" applyNumberFormat="0" applyFill="0" applyAlignment="0" applyProtection="0"/>
    <xf numFmtId="0" fontId="26" fillId="8" borderId="9" applyNumberFormat="0" applyAlignment="0" applyProtection="0"/>
    <xf numFmtId="0" fontId="27" fillId="0" borderId="0" applyNumberFormat="0" applyFill="0" applyBorder="0" applyAlignment="0" applyProtection="0"/>
    <xf numFmtId="0" fontId="31" fillId="9" borderId="10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11" applyNumberFormat="0" applyFill="0" applyAlignment="0" applyProtection="0"/>
    <xf numFmtId="0" fontId="3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7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textRotation="68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 vertical="center" indent="1"/>
    </xf>
    <xf numFmtId="2" fontId="6" fillId="0" borderId="0" xfId="0" applyNumberFormat="1" applyFont="1" applyAlignment="1">
      <alignment horizontal="center" vertical="center"/>
    </xf>
    <xf numFmtId="180" fontId="6" fillId="0" borderId="0" xfId="0" applyNumberFormat="1" applyFont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10" fillId="2" borderId="2" xfId="0" applyFont="1" applyFill="1" applyBorder="1" applyAlignment="1">
      <alignment horizontal="left" vertical="center" indent="1"/>
    </xf>
    <xf numFmtId="0" fontId="11" fillId="0" borderId="0" xfId="0" applyFont="1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inden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indent="1"/>
    </xf>
    <xf numFmtId="0" fontId="12" fillId="0" borderId="0" xfId="0" applyFont="1" applyAlignment="1">
      <alignment horizontal="left" vertical="center" indent="1"/>
    </xf>
    <xf numFmtId="0" fontId="15" fillId="0" borderId="0" xfId="0" applyFont="1" applyAlignment="1">
      <alignment horizontal="center" vertical="center"/>
    </xf>
    <xf numFmtId="181" fontId="3" fillId="0" borderId="0" xfId="0" applyNumberFormat="1" applyFont="1" applyAlignment="1">
      <alignment horizontal="center" vertical="center"/>
    </xf>
    <xf numFmtId="181" fontId="4" fillId="0" borderId="0" xfId="0" applyNumberFormat="1" applyFont="1" applyAlignment="1">
      <alignment horizontal="center" vertical="center"/>
    </xf>
    <xf numFmtId="181" fontId="5" fillId="0" borderId="0" xfId="0" applyNumberFormat="1" applyFont="1" applyAlignment="1">
      <alignment horizontal="center" vertical="center"/>
    </xf>
    <xf numFmtId="181" fontId="10" fillId="2" borderId="2" xfId="0" applyNumberFormat="1" applyFont="1" applyFill="1" applyBorder="1" applyAlignment="1">
      <alignment horizontal="center" vertical="center"/>
    </xf>
    <xf numFmtId="181" fontId="11" fillId="0" borderId="0" xfId="0" applyNumberFormat="1" applyFont="1" applyAlignment="1">
      <alignment horizontal="center" vertical="center"/>
    </xf>
    <xf numFmtId="181" fontId="11" fillId="2" borderId="2" xfId="0" applyNumberFormat="1" applyFont="1" applyFill="1" applyBorder="1" applyAlignment="1">
      <alignment horizontal="center" vertical="center"/>
    </xf>
    <xf numFmtId="181" fontId="10" fillId="0" borderId="0" xfId="0" applyNumberFormat="1" applyFont="1" applyAlignment="1">
      <alignment horizontal="center" vertical="center"/>
    </xf>
    <xf numFmtId="182" fontId="14" fillId="0" borderId="0" xfId="0" applyNumberFormat="1" applyFont="1" applyAlignment="1">
      <alignment horizontal="center" vertical="center"/>
    </xf>
    <xf numFmtId="181" fontId="12" fillId="0" borderId="0" xfId="0" applyNumberFormat="1" applyFont="1" applyAlignment="1">
      <alignment horizontal="center" vertical="center"/>
    </xf>
    <xf numFmtId="181" fontId="15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181" fontId="32" fillId="0" borderId="1" xfId="0" applyNumberFormat="1" applyFont="1" applyBorder="1" applyAlignment="1">
      <alignment horizontal="left" indent="10"/>
    </xf>
  </cellXfs>
  <cellStyles count="47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te" xfId="20" builtinId="10" customBuiltin="1"/>
    <cellStyle name="Output" xfId="15" builtinId="21" customBuiltin="1"/>
    <cellStyle name="Percent" xfId="5" builtinId="5" customBuiltin="1"/>
    <cellStyle name="Title" xfId="6" builtinId="15" customBuiltin="1"/>
    <cellStyle name="Total" xfId="22" builtinId="25" customBuiltin="1"/>
    <cellStyle name="Warning Text" xfId="19" builtinId="11" customBuiltin="1"/>
  </cellStyles>
  <dxfs count="143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2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  <numFmt numFmtId="176" formatCode="#,##0.00\ &quot;€&quot;;[Red]\-#,##0.00\ &quot;€&quot;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2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  <numFmt numFmtId="176" formatCode="#,##0.00\ &quot;€&quot;;[Red]\-#,##0.00\ &quot;€&quot;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2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  <numFmt numFmtId="176" formatCode="#,##0.00\ &quot;€&quot;;[Red]\-#,##0.00\ &quot;€&quot;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2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  <numFmt numFmtId="176" formatCode="#,##0.00\ &quot;€&quot;;[Red]\-#,##0.00\ &quot;€&quot;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2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  <numFmt numFmtId="176" formatCode="#,##0.00\ &quot;€&quot;;[Red]\-#,##0.00\ &quot;€&quot;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2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  <numFmt numFmtId="176" formatCode="#,##0.00\ &quot;€&quot;;[Red]\-#,##0.00\ &quot;€&quot;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2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  <numFmt numFmtId="176" formatCode="#,##0.00\ &quot;€&quot;;[Red]\-#,##0.00\ &quot;€&quot;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2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  <numFmt numFmtId="176" formatCode="#,##0.00\ &quot;€&quot;;[Red]\-#,##0.00\ &quot;€&quot;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2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  <numFmt numFmtId="176" formatCode="#,##0.00\ &quot;€&quot;;[Red]\-#,##0.00\ &quot;€&quot;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2" formatCode="#,##0.00\ &quot;€&quot;;[Red]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  <numFmt numFmtId="176" formatCode="#,##0.00\ &quot;€&quot;;[Red]\-#,##0.00\ &quot;€&quot;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border diagonalUp="0" diagonalDown="0" outline="0">
        <left style="thin">
          <color theme="3"/>
        </left>
        <right style="thin">
          <color theme="3"/>
        </right>
        <top/>
        <bottom/>
      </border>
    </dxf>
    <dxf>
      <font>
        <strike val="0"/>
        <outline val="0"/>
        <shadow val="0"/>
        <u val="none"/>
        <vertAlign val="baseline"/>
        <color theme="3" tint="-0.499984740745262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border diagonalUp="0" diagonalDown="0" outline="0">
        <left style="thin">
          <color theme="3"/>
        </left>
        <right style="thin">
          <color theme="3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79" formatCode="&quot;$&quot;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numFmt numFmtId="181" formatCode="#,##0.00\ &quot;€&quot;"/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fill>
        <patternFill patternType="solid">
          <fgColor indexed="64"/>
          <bgColor theme="3" tint="0.39997558519241921"/>
        </patternFill>
      </fill>
      <alignment horizontal="left" vertical="center" textRotation="0" wrapText="0" indent="1" justifyLastLine="0" shrinkToFit="0" readingOrder="0"/>
      <border diagonalUp="0" diagonalDown="0" outline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alignment horizontal="left" vertical="center" textRotation="0" wrapText="0" indent="1" justifyLastLine="0" shrinkToFit="0" readingOrder="0"/>
    </dxf>
    <dxf>
      <border>
        <top style="thin">
          <color theme="3"/>
        </top>
      </border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fill>
        <patternFill patternType="solid">
          <fgColor indexed="64"/>
          <bgColor theme="3" tint="0.39997558519241921"/>
        </patternFill>
      </fill>
      <border diagonalUp="0" diagonalDown="0" outline="0">
        <left style="thin">
          <color theme="3"/>
        </left>
        <right style="thin">
          <color theme="3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</dxf>
    <dxf>
      <border>
        <bottom style="thin">
          <color theme="3"/>
        </bottom>
      </border>
    </dxf>
    <dxf>
      <font>
        <b/>
        <strike val="0"/>
        <outline val="0"/>
        <shadow val="0"/>
        <u val="none"/>
        <vertAlign val="baseline"/>
        <sz val="10"/>
        <color theme="3" tint="-0.499984740745262"/>
        <name val="Arial"/>
        <family val="2"/>
        <scheme val="minor"/>
      </font>
      <fill>
        <patternFill patternType="solid">
          <fgColor indexed="64"/>
          <bgColor theme="3" tint="0.39997558519241921"/>
        </patternFill>
      </fill>
      <border diagonalUp="0" diagonalDown="0" outline="0">
        <left style="thin">
          <color theme="3"/>
        </left>
        <right style="thin">
          <color theme="3"/>
        </right>
        <top/>
        <bottom/>
      </border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5117038483843"/>
          <bgColor theme="8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 val="0"/>
        <i val="0"/>
        <color theme="6" tint="-0.249977111117893"/>
      </font>
      <fill>
        <patternFill patternType="none">
          <bgColor auto="1"/>
        </patternFill>
      </fill>
      <border>
        <top style="thin">
          <color theme="8" tint="-9.9948118533890809E-2"/>
        </top>
        <bottom/>
      </border>
    </dxf>
    <dxf>
      <font>
        <b val="0"/>
        <i val="0"/>
        <color theme="6" tint="-0.249977111117893"/>
      </font>
      <fill>
        <patternFill>
          <bgColor theme="4"/>
        </patternFill>
      </fill>
      <border>
        <top style="thick">
          <color theme="4"/>
        </top>
        <bottom style="thin">
          <color theme="4"/>
        </bottom>
      </border>
    </dxf>
    <dxf>
      <font>
        <color theme="6" tint="-0.249977111117893"/>
      </font>
      <border diagonalUp="0" diagonalDown="0">
        <left/>
        <right/>
        <top/>
        <bottom/>
        <vertical/>
        <horizontal/>
      </border>
    </dxf>
    <dxf>
      <fill>
        <patternFill patternType="none">
          <bgColor auto="1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border>
        <left style="thin">
          <color theme="3" tint="0.39994506668294322"/>
        </left>
        <right style="thin">
          <color theme="3" tint="0.39994506668294322"/>
        </right>
        <top style="thin">
          <color theme="3" tint="0.39994506668294322"/>
        </top>
        <bottom style="thin">
          <color theme="3" tint="0.39994506668294322"/>
        </bottom>
        <vertical style="thin">
          <color theme="3" tint="0.39994506668294322"/>
        </vertical>
        <horizontal style="thin">
          <color theme="3" tint="0.39994506668294322"/>
        </horizontal>
      </border>
    </dxf>
    <dxf>
      <border>
        <left style="thin">
          <color theme="3" tint="0.39994506668294322"/>
        </left>
        <right style="thin">
          <color theme="3" tint="0.39994506668294322"/>
        </right>
        <top style="thin">
          <color theme="3" tint="0.39994506668294322"/>
        </top>
        <bottom style="thin">
          <color theme="3" tint="0.39994506668294322"/>
        </bottom>
        <vertical style="thin">
          <color theme="3" tint="0.39994506668294322"/>
        </vertical>
        <horizontal style="thin">
          <color theme="3" tint="0.39994506668294322"/>
        </horizontal>
      </border>
    </dxf>
    <dxf>
      <fill>
        <patternFill>
          <bgColor theme="3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3"/>
        </patternFill>
      </fill>
    </dxf>
    <dxf>
      <fill>
        <patternFill>
          <bgColor theme="5"/>
        </patternFill>
      </fill>
    </dxf>
    <dxf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ill>
        <patternFill>
          <bgColor theme="5"/>
        </patternFill>
      </fill>
    </dxf>
  </dxfs>
  <tableStyles count="5" defaultTableStyle="TableStyleMedium2" defaultPivotStyle="PivotStyleLight16">
    <tableStyle name="Estilo de tabla 1" pivot="0" count="2" xr9:uid="{3E68996B-CBA3-9440-8B40-380F6AE6A524}">
      <tableStyleElement type="headerRow" dxfId="142"/>
      <tableStyleElement type="totalRow" dxfId="141"/>
    </tableStyle>
    <tableStyle name="Estilo de tabla 2" pivot="0" count="3" xr9:uid="{97B1F207-7AF4-7F43-B9AA-798E5EB9514A}">
      <tableStyleElement type="wholeTable" dxfId="140"/>
      <tableStyleElement type="headerRow" dxfId="139"/>
      <tableStyleElement type="totalRow" dxfId="138"/>
    </tableStyle>
    <tableStyle name="Estilo de tabla 3" pivot="0" count="4" xr9:uid="{7C3D2DDB-5BDD-F547-B2B3-61722682222E}">
      <tableStyleElement type="headerRow" dxfId="137"/>
      <tableStyleElement type="totalRow" dxfId="136"/>
      <tableStyleElement type="firstRowStripe" dxfId="135"/>
      <tableStyleElement type="secondRowStripe" dxfId="134"/>
    </tableStyle>
    <tableStyle name="Estilo de tabla 4" pivot="0" count="4" xr9:uid="{E7043985-2C79-8647-95C9-253177091258}">
      <tableStyleElement type="wholeTable" dxfId="133"/>
      <tableStyleElement type="headerRow" dxfId="132"/>
      <tableStyleElement type="totalRow" dxfId="131"/>
      <tableStyleElement type="firstColumn" dxfId="130"/>
    </tableStyle>
    <tableStyle name="TableStyleLight4 2" pivot="0" count="7" xr9:uid="{00000000-0011-0000-FFFF-FFFF00000000}">
      <tableStyleElement type="wholeTable" dxfId="129"/>
      <tableStyleElement type="headerRow" dxfId="128"/>
      <tableStyleElement type="totalRow" dxfId="127"/>
      <tableStyleElement type="firstColumn" dxfId="126"/>
      <tableStyleElement type="lastColumn" dxfId="125"/>
      <tableStyleElement type="firstRowStripe" dxfId="124"/>
      <tableStyleElement type="firstColumnStripe" dxfId="12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EAEAEA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37D8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4D1"/>
      <color rgb="FFFFF9E7"/>
      <color rgb="FF75BDA7"/>
      <color rgb="FFC5AC84"/>
      <color rgb="FF3034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charts/_rels/chart11.xml.rels>&#65279;<?xml version="1.0" encoding="utf-8"?><Relationships xmlns="http://schemas.openxmlformats.org/package/2006/relationships"><Relationship Type="http://schemas.microsoft.com/office/2011/relationships/chartColorStyle" Target="/xl/charts/colors1.xml" Id="rId2" /><Relationship Type="http://schemas.microsoft.com/office/2011/relationships/chartStyle" Target="/xl/charts/style1.xml" Id="rId1" /></Relationships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985639588173211"/>
          <c:y val="3.2751669624672269E-2"/>
          <c:w val="0.76203249177744936"/>
          <c:h val="0.9559322175569008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'Presupuesto para boda'!$D$5</c:f>
              <c:strCache>
                <c:ptCount val="1"/>
                <c:pt idx="0">
                  <c:v>REAL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FA1B-414C-A648-94B3133E853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1B-414C-A648-94B3133E853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FA1B-414C-A648-94B3133E853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A1B-414C-A648-94B3133E8533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FA1B-414C-A648-94B3133E853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A1B-414C-A648-94B3133E8533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A1B-414C-A648-94B3133E8533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A1B-414C-A648-94B3133E8533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A1B-414C-A648-94B3133E8533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A1B-414C-A648-94B3133E8533}"/>
              </c:ext>
            </c:extLst>
          </c:dPt>
          <c:cat>
            <c:strRef>
              <c:f>'Presupuesto para boda'!$B$6:$B$15</c:f>
              <c:strCache>
                <c:ptCount val="10"/>
                <c:pt idx="0">
                  <c:v>Recepción</c:v>
                </c:pt>
                <c:pt idx="1">
                  <c:v>Ropa</c:v>
                </c:pt>
                <c:pt idx="2">
                  <c:v>Fotografía</c:v>
                </c:pt>
                <c:pt idx="3">
                  <c:v>Decoración</c:v>
                </c:pt>
                <c:pt idx="4">
                  <c:v>Transporte</c:v>
                </c:pt>
                <c:pt idx="5">
                  <c:v>Regalos</c:v>
                </c:pt>
                <c:pt idx="6">
                  <c:v>Música</c:v>
                </c:pt>
                <c:pt idx="7">
                  <c:v>Flores</c:v>
                </c:pt>
                <c:pt idx="8">
                  <c:v>Impresión o papelería</c:v>
                </c:pt>
                <c:pt idx="9">
                  <c:v>Otros gastos</c:v>
                </c:pt>
              </c:strCache>
            </c:strRef>
          </c:cat>
          <c:val>
            <c:numRef>
              <c:f>'Presupuesto para boda'!$D$6:$D$15</c:f>
              <c:numCache>
                <c:formatCode>#,##0.00\ "€"</c:formatCode>
                <c:ptCount val="10"/>
                <c:pt idx="0">
                  <c:v>5300</c:v>
                </c:pt>
                <c:pt idx="1">
                  <c:v>5000</c:v>
                </c:pt>
                <c:pt idx="2">
                  <c:v>2950</c:v>
                </c:pt>
                <c:pt idx="3">
                  <c:v>2300</c:v>
                </c:pt>
                <c:pt idx="4">
                  <c:v>1400</c:v>
                </c:pt>
                <c:pt idx="5">
                  <c:v>1300</c:v>
                </c:pt>
                <c:pt idx="6">
                  <c:v>1250</c:v>
                </c:pt>
                <c:pt idx="7">
                  <c:v>800</c:v>
                </c:pt>
                <c:pt idx="8">
                  <c:v>400</c:v>
                </c:pt>
                <c:pt idx="9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F9-4AD2-931B-79DD782E1D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62963168"/>
        <c:axId val="462958904"/>
      </c:barChart>
      <c:catAx>
        <c:axId val="4629631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958904"/>
        <c:crosses val="autoZero"/>
        <c:auto val="1"/>
        <c:lblAlgn val="ctr"/>
        <c:lblOffset val="100"/>
        <c:noMultiLvlLbl val="0"/>
      </c:catAx>
      <c:valAx>
        <c:axId val="462958904"/>
        <c:scaling>
          <c:orientation val="minMax"/>
        </c:scaling>
        <c:delete val="1"/>
        <c:axPos val="t"/>
        <c:numFmt formatCode="#,##0.00\ &quot;€&quot;" sourceLinked="1"/>
        <c:majorTickMark val="none"/>
        <c:minorTickMark val="none"/>
        <c:tickLblPos val="nextTo"/>
        <c:crossAx val="462963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+mn-lt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&#65279;<?xml version="1.0" encoding="utf-8"?><Relationships xmlns="http://schemas.openxmlformats.org/package/2006/relationships"><Relationship Type="http://schemas.openxmlformats.org/officeDocument/2006/relationships/image" Target="/xl/media/image2.svg" Id="rId3" /><Relationship Type="http://schemas.openxmlformats.org/officeDocument/2006/relationships/image" Target="/xl/media/image1.png" Id="rId2" /><Relationship Type="http://schemas.openxmlformats.org/officeDocument/2006/relationships/chart" Target="/xl/charts/chart11.xml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314738</xdr:colOff>
      <xdr:row>5</xdr:row>
      <xdr:rowOff>33131</xdr:rowOff>
    </xdr:from>
    <xdr:to>
      <xdr:col>9</xdr:col>
      <xdr:colOff>1018760</xdr:colOff>
      <xdr:row>16</xdr:row>
      <xdr:rowOff>0</xdr:rowOff>
    </xdr:to>
    <xdr:graphicFrame macro="">
      <xdr:nvGraphicFramePr>
        <xdr:cNvPr id="3" name="Gráfica 2" descr="Gráfico que resume los gastos reales organizados en orden descendent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0</xdr:row>
      <xdr:rowOff>88900</xdr:rowOff>
    </xdr:from>
    <xdr:to>
      <xdr:col>1</xdr:col>
      <xdr:colOff>1311881</xdr:colOff>
      <xdr:row>2</xdr:row>
      <xdr:rowOff>35095</xdr:rowOff>
    </xdr:to>
    <xdr:pic>
      <xdr:nvPicPr>
        <xdr:cNvPr id="5" name="Gráfico 4" descr="Contorno de campanas">
          <a:extLst>
            <a:ext uri="{FF2B5EF4-FFF2-40B4-BE49-F238E27FC236}">
              <a16:creationId xmlns:a16="http://schemas.microsoft.com/office/drawing/2014/main" id="{311B2AED-BE5C-61C9-4DE8-BC03BFDAE9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27000" y="203200"/>
          <a:ext cx="1311881" cy="1203495"/>
        </a:xfrm>
        <a:prstGeom prst="rect">
          <a:avLst/>
        </a:prstGeom>
      </xdr:spPr>
    </xdr:pic>
    <xdr:clientData/>
  </xdr:twoCellAnchor>
</xdr:wsDr>
</file>

<file path=xl/tables/table10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TBL_Stationery" displayName="TBL_Stationery" ref="G50:J61" totalsRowCount="1" headerRowDxfId="21" dataDxfId="20" totalsRowDxfId="19">
  <tableColumns count="4">
    <tableColumn id="1" xr3:uid="{00000000-0010-0000-0900-000001000000}" name="IMPRESIÓN Y PAPELERÍA" totalsRowLabel="Total de impresión o papelería" dataDxfId="18" totalsRowDxfId="17"/>
    <tableColumn id="2" xr3:uid="{00000000-0010-0000-0900-000002000000}" name="ESTIMADO" totalsRowFunction="sum" dataDxfId="16" totalsRowDxfId="15"/>
    <tableColumn id="3" xr3:uid="{00000000-0010-0000-0900-000003000000}" name="REAL" totalsRowFunction="sum" dataDxfId="14" totalsRowDxfId="13"/>
    <tableColumn id="4" xr3:uid="{00000000-0010-0000-0900-000004000000}" name="DIFERENCIA" totalsRowFunction="sum" dataDxfId="12" totalsRowDxfId="11">
      <calculatedColumnFormula>TBL_Stationery[[#This Row],[ESTIMADO]]-TBL_Stationery[[#This Row],[REAL]]</calculatedColumnFormula>
    </tableColumn>
  </tableColumns>
  <tableStyleInfo name="Estilo de tabla 4" showFirstColumn="0" showLastColumn="0" showRowStripes="1" showColumnStripes="0"/>
</table>
</file>

<file path=xl/tables/table1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A000000}" name="TBL_Transportation" displayName="TBL_Transportation" ref="G64:J69" totalsRowCount="1" headerRowDxfId="10" dataDxfId="9" totalsRowDxfId="8">
  <tableColumns count="4">
    <tableColumn id="1" xr3:uid="{00000000-0010-0000-0A00-000001000000}" name="TRANSPORTE" totalsRowLabel="Total transporte" dataDxfId="7" totalsRowDxfId="6"/>
    <tableColumn id="2" xr3:uid="{00000000-0010-0000-0A00-000002000000}" name="ESTIMADO" totalsRowFunction="sum" dataDxfId="5" totalsRowDxfId="4"/>
    <tableColumn id="3" xr3:uid="{00000000-0010-0000-0A00-000003000000}" name="REAL" totalsRowFunction="sum" dataDxfId="3" totalsRowDxfId="2"/>
    <tableColumn id="4" xr3:uid="{00000000-0010-0000-0A00-000004000000}" name="DIFERENCIA" totalsRowFunction="sum" dataDxfId="1" totalsRowDxfId="0">
      <calculatedColumnFormula>TBL_Transportation[[#This Row],[ESTIMADO]]-TBL_Transportation[[#This Row],[REAL]]</calculatedColumnFormula>
    </tableColumn>
  </tableColumns>
  <tableStyleInfo name="Estilo de tabla 4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_Summary" displayName="TBL_Summary" ref="B5:E16" totalsRowCount="1" headerRowDxfId="122" dataDxfId="120" totalsRowDxfId="119" headerRowBorderDxfId="121" totalsRowBorderDxfId="118">
  <tableColumns count="4">
    <tableColumn id="1" xr3:uid="{00000000-0010-0000-0000-000001000000}" name="RESUMEN" totalsRowLabel="Presupuesto total" dataDxfId="117" totalsRowDxfId="116"/>
    <tableColumn id="2" xr3:uid="{00000000-0010-0000-0000-000002000000}" name="ESTIMADO" totalsRowFunction="sum" dataDxfId="115" totalsRowDxfId="114"/>
    <tableColumn id="3" xr3:uid="{00000000-0010-0000-0000-000003000000}" name="REAL" totalsRowFunction="sum" dataDxfId="113" totalsRowDxfId="112"/>
    <tableColumn id="4" xr3:uid="{00000000-0010-0000-0000-000004000000}" name="DIFERENCIA" totalsRowFunction="count" dataDxfId="111" totalsRowDxfId="110">
      <calculatedColumnFormula>TBL_Summary[[#This Row],[ESTIMADO]]-TBL_Summary[[#This Row],[REAL]]</calculatedColumnFormula>
    </tableColumn>
  </tableColumns>
  <tableStyleInfo name="Estilo de tabla 3" showFirstColumn="0" showLastColumn="0" showRowStripes="1" showColumnStripes="0"/>
</table>
</file>

<file path=xl/tables/table2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BL_Apparel" displayName="TBL_Apparel" ref="B20:E29" totalsRowCount="1" headerRowDxfId="109" dataDxfId="108" totalsRowDxfId="107">
  <tableColumns count="4">
    <tableColumn id="1" xr3:uid="{00000000-0010-0000-0100-000001000000}" name="ROPA" totalsRowLabel="Total ropa" dataDxfId="106" totalsRowDxfId="105"/>
    <tableColumn id="2" xr3:uid="{00000000-0010-0000-0100-000002000000}" name="ESTIMADO" totalsRowFunction="sum" dataDxfId="104" totalsRowDxfId="103"/>
    <tableColumn id="3" xr3:uid="{00000000-0010-0000-0100-000003000000}" name="REAL" totalsRowFunction="sum" dataDxfId="102" totalsRowDxfId="101"/>
    <tableColumn id="4" xr3:uid="{00000000-0010-0000-0100-000004000000}" name="DIFERENCIA" totalsRowFunction="sum" dataDxfId="100" totalsRowDxfId="99">
      <calculatedColumnFormula>TBL_Apparel[[#This Row],[ESTIMADO]]-TBL_Apparel[[#This Row],[REAL]]</calculatedColumnFormula>
    </tableColumn>
  </tableColumns>
  <tableStyleInfo name="Estilo de tabla 4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BL_Gifts" displayName="TBL_Gifts" ref="B32:E37" totalsRowCount="1" headerRowDxfId="98" dataDxfId="97" totalsRowDxfId="96">
  <tableColumns count="4">
    <tableColumn id="1" xr3:uid="{00000000-0010-0000-0200-000001000000}" name="REGALOS" totalsRowLabel="Total regalos" dataDxfId="95" totalsRowDxfId="94"/>
    <tableColumn id="2" xr3:uid="{00000000-0010-0000-0200-000002000000}" name="ESTIMADO" totalsRowFunction="sum" dataDxfId="93" totalsRowDxfId="92"/>
    <tableColumn id="3" xr3:uid="{00000000-0010-0000-0200-000003000000}" name="REAL" totalsRowFunction="sum" dataDxfId="91" totalsRowDxfId="90"/>
    <tableColumn id="4" xr3:uid="{00000000-0010-0000-0200-000004000000}" name="DIFERENCIA" totalsRowFunction="min" dataDxfId="89" totalsRowDxfId="88">
      <calculatedColumnFormula>TBL_Gifts[[#This Row],[ESTIMADO]]-TBL_Gifts[[#This Row],[REAL]]</calculatedColumnFormula>
    </tableColumn>
  </tableColumns>
  <tableStyleInfo name="Estilo de tabla 4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BL_Music" displayName="TBL_Music" ref="B40:E44" totalsRowCount="1" headerRowDxfId="87" dataDxfId="86" totalsRowDxfId="85">
  <tableColumns count="4">
    <tableColumn id="1" xr3:uid="{00000000-0010-0000-0300-000001000000}" name="MÚSICA " totalsRowLabel="Total música" dataDxfId="84" totalsRowDxfId="83"/>
    <tableColumn id="2" xr3:uid="{00000000-0010-0000-0300-000002000000}" name="ESTIMADO" totalsRowFunction="sum" dataDxfId="82" totalsRowDxfId="81"/>
    <tableColumn id="3" xr3:uid="{00000000-0010-0000-0300-000003000000}" name="REAL" totalsRowFunction="sum" dataDxfId="80" totalsRowDxfId="79"/>
    <tableColumn id="4" xr3:uid="{00000000-0010-0000-0300-000004000000}" name="DIFERENCIA" totalsRowFunction="sum" dataDxfId="78" totalsRowDxfId="77">
      <calculatedColumnFormula>TBL_Music[[#This Row],[ESTIMADO]]-TBL_Music[[#This Row],[REAL]]</calculatedColumnFormula>
    </tableColumn>
  </tableColumns>
  <tableStyleInfo name="Estilo de tabla 4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BL_Reception" displayName="TBL_Reception" ref="B47:E57" totalsRowCount="1" headerRowDxfId="76" dataDxfId="75" totalsRowDxfId="74">
  <tableColumns count="4">
    <tableColumn id="1" xr3:uid="{00000000-0010-0000-0400-000001000000}" name="RECEPCIÓN" totalsRowLabel="Total recepción" dataDxfId="73" totalsRowDxfId="72"/>
    <tableColumn id="2" xr3:uid="{00000000-0010-0000-0400-000002000000}" name="ESTIMADO" totalsRowFunction="sum" dataDxfId="71" totalsRowDxfId="70"/>
    <tableColumn id="3" xr3:uid="{00000000-0010-0000-0400-000003000000}" name="REAL" totalsRowFunction="sum" dataDxfId="69" totalsRowDxfId="68"/>
    <tableColumn id="4" xr3:uid="{00000000-0010-0000-0400-000004000000}" name="DIFERENCIA" totalsRowFunction="sum" dataDxfId="67" totalsRowDxfId="66">
      <calculatedColumnFormula>TBL_Reception[[#This Row],[ESTIMADO]]-TBL_Reception[[#This Row],[REAL]]</calculatedColumnFormula>
    </tableColumn>
  </tableColumns>
  <tableStyleInfo name="Estilo de tabla 4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TBL_OtherExpenses" displayName="TBL_OtherExpenses" ref="B60:E69" totalsRowCount="1" headerRowDxfId="65" dataDxfId="64" totalsRowDxfId="63">
  <tableColumns count="4">
    <tableColumn id="1" xr3:uid="{00000000-0010-0000-0500-000001000000}" name="OTROS GASTOS" totalsRowLabel="Total otros gastos" dataDxfId="62" totalsRowDxfId="61"/>
    <tableColumn id="2" xr3:uid="{00000000-0010-0000-0500-000002000000}" name="ESTIMADO" totalsRowFunction="sum" dataDxfId="60" totalsRowDxfId="59"/>
    <tableColumn id="3" xr3:uid="{00000000-0010-0000-0500-000003000000}" name="REAL" totalsRowFunction="sum" dataDxfId="58" totalsRowDxfId="57"/>
    <tableColumn id="4" xr3:uid="{00000000-0010-0000-0500-000004000000}" name="DIFERENCIA" totalsRowFunction="sum" dataDxfId="56" totalsRowDxfId="55">
      <calculatedColumnFormula>TBL_OtherExpenses[[#This Row],[ESTIMADO]]-TBL_OtherExpenses[[#This Row],[REAL]]</calculatedColumnFormula>
    </tableColumn>
  </tableColumns>
  <tableStyleInfo name="Estilo de tabla 4" showFirstColumn="0" showLastColumn="0" showRowStripes="1" showColumnStripes="0"/>
</table>
</file>

<file path=xl/tables/table7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TBL_Decorations" displayName="TBL_Decorations" ref="G20:J27" totalsRowCount="1" headerRowDxfId="54" dataDxfId="53" totalsRowDxfId="52">
  <tableColumns count="4">
    <tableColumn id="1" xr3:uid="{00000000-0010-0000-0600-000001000000}" name="DECORACIONES" totalsRowLabel="Total adornos" dataDxfId="51" totalsRowDxfId="50"/>
    <tableColumn id="2" xr3:uid="{00000000-0010-0000-0600-000002000000}" name="ESTIMADO" totalsRowFunction="sum" dataDxfId="49" totalsRowDxfId="48"/>
    <tableColumn id="3" xr3:uid="{00000000-0010-0000-0600-000003000000}" name="REAL" totalsRowFunction="sum" dataDxfId="47" totalsRowDxfId="46"/>
    <tableColumn id="4" xr3:uid="{00000000-0010-0000-0600-000004000000}" name="DIFERENCIA" totalsRowFunction="sum" dataDxfId="45" totalsRowDxfId="44">
      <calculatedColumnFormula>TBL_Decorations[[#This Row],[ESTIMADO]]-TBL_Decorations[[#This Row],[REAL]]</calculatedColumnFormula>
    </tableColumn>
  </tableColumns>
  <tableStyleInfo name="Estilo de tabla 4" showFirstColumn="0" showLastColumn="0" showRowStripes="1" showColumnStripes="0"/>
</table>
</file>

<file path=xl/tables/table8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TBL_Flowers" displayName="TBL_Flowers" ref="G30:J37" totalsRowCount="1" headerRowDxfId="43" dataDxfId="42" totalsRowDxfId="41">
  <tableColumns count="4">
    <tableColumn id="1" xr3:uid="{00000000-0010-0000-0700-000001000000}" name="FLORES" totalsRowLabel="Total flores" dataDxfId="40" totalsRowDxfId="39"/>
    <tableColumn id="2" xr3:uid="{00000000-0010-0000-0700-000002000000}" name="ESTIMADO" totalsRowFunction="sum" dataDxfId="38" totalsRowDxfId="37"/>
    <tableColumn id="3" xr3:uid="{00000000-0010-0000-0700-000003000000}" name="REAL" totalsRowFunction="sum" dataDxfId="36" totalsRowDxfId="35"/>
    <tableColumn id="4" xr3:uid="{00000000-0010-0000-0700-000004000000}" name="DIFERENCIA" totalsRowFunction="sum" dataDxfId="34" totalsRowDxfId="33">
      <calculatedColumnFormula>TBL_Flowers[[#This Row],[ESTIMADO]]-TBL_Flowers[[#This Row],[REAL]]</calculatedColumnFormula>
    </tableColumn>
  </tableColumns>
  <tableStyleInfo name="Estilo de tabla 4" showFirstColumn="0" showLastColumn="0" showRowStripes="1" showColumnStripes="0"/>
</table>
</file>

<file path=xl/tables/table9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TBL_Photography" displayName="TBL_Photography" ref="G40:J47" totalsRowCount="1" headerRowDxfId="32" dataDxfId="31" totalsRowDxfId="30">
  <tableColumns count="4">
    <tableColumn id="1" xr3:uid="{00000000-0010-0000-0800-000001000000}" name="FOTOGRAFÍA" totalsRowLabel="Total fotografía" dataDxfId="29" totalsRowDxfId="28"/>
    <tableColumn id="2" xr3:uid="{00000000-0010-0000-0800-000002000000}" name="ESTIMADO" totalsRowFunction="sum" dataDxfId="27" totalsRowDxfId="26"/>
    <tableColumn id="3" xr3:uid="{00000000-0010-0000-0800-000003000000}" name="REAL" totalsRowFunction="sum" dataDxfId="25" totalsRowDxfId="24"/>
    <tableColumn id="4" xr3:uid="{00000000-0010-0000-0800-000004000000}" name="DIFERENCIA" totalsRowFunction="sum" dataDxfId="23" totalsRowDxfId="22">
      <calculatedColumnFormula>TBL_Photography[[#This Row],[ESTIMADO]]-TBL_Photography[[#This Row],[REAL]]</calculatedColumnFormula>
    </tableColumn>
  </tableColumns>
  <tableStyleInfo name="Estilo de tabla 4" showFirstColumn="0" showLastColumn="0" showRowStripes="1" showColumnStripes="0"/>
</table>
</file>

<file path=xl/theme/theme11.xml><?xml version="1.0" encoding="utf-8"?>
<a:theme xmlns:a="http://schemas.openxmlformats.org/drawingml/2006/main" name="Office Theme">
  <a:themeElements>
    <a:clrScheme name="Wedding Budget 1">
      <a:dk1>
        <a:srgbClr val="000000"/>
      </a:dk1>
      <a:lt1>
        <a:srgbClr val="FFFFFF"/>
      </a:lt1>
      <a:dk2>
        <a:srgbClr val="CBA236"/>
      </a:dk2>
      <a:lt2>
        <a:srgbClr val="E7E6E6"/>
      </a:lt2>
      <a:accent1>
        <a:srgbClr val="9CA9BC"/>
      </a:accent1>
      <a:accent2>
        <a:srgbClr val="E7ECF4"/>
      </a:accent2>
      <a:accent3>
        <a:srgbClr val="CCE7D6"/>
      </a:accent3>
      <a:accent4>
        <a:srgbClr val="F1BBB9"/>
      </a:accent4>
      <a:accent5>
        <a:srgbClr val="DFDBEB"/>
      </a:accent5>
      <a:accent6>
        <a:srgbClr val="E1C7B3"/>
      </a:accent6>
      <a:hlink>
        <a:srgbClr val="0563C1"/>
      </a:hlink>
      <a:folHlink>
        <a:srgbClr val="954F72"/>
      </a:folHlink>
    </a:clrScheme>
    <a:fontScheme name="Custom 59">
      <a:majorFont>
        <a:latin typeface="Perpetu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61.xml" Id="rId8" /><Relationship Type="http://schemas.openxmlformats.org/officeDocument/2006/relationships/table" Target="/xl/tables/table112.xml" Id="rId13" /><Relationship Type="http://schemas.openxmlformats.org/officeDocument/2006/relationships/table" Target="/xl/tables/table13.xml" Id="rId3" /><Relationship Type="http://schemas.openxmlformats.org/officeDocument/2006/relationships/table" Target="/xl/tables/table54.xml" Id="rId7" /><Relationship Type="http://schemas.openxmlformats.org/officeDocument/2006/relationships/table" Target="/xl/tables/table105.xml" Id="rId12" /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1.bin" Id="rId1" /><Relationship Type="http://schemas.openxmlformats.org/officeDocument/2006/relationships/table" Target="/xl/tables/table46.xml" Id="rId6" /><Relationship Type="http://schemas.openxmlformats.org/officeDocument/2006/relationships/table" Target="/xl/tables/table97.xml" Id="rId11" /><Relationship Type="http://schemas.openxmlformats.org/officeDocument/2006/relationships/table" Target="/xl/tables/table38.xml" Id="rId5" /><Relationship Type="http://schemas.openxmlformats.org/officeDocument/2006/relationships/table" Target="/xl/tables/table89.xml" Id="rId10" /><Relationship Type="http://schemas.openxmlformats.org/officeDocument/2006/relationships/table" Target="/xl/tables/table210.xml" Id="rId4" /><Relationship Type="http://schemas.openxmlformats.org/officeDocument/2006/relationships/table" Target="/xl/tables/table711.xml" Id="rId9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3"/>
  <sheetViews>
    <sheetView showGridLines="0" tabSelected="1" zoomScaleNormal="100" workbookViewId="0"/>
  </sheetViews>
  <sheetFormatPr defaultColWidth="9.140625" defaultRowHeight="16.149999999999999" customHeight="1" x14ac:dyDescent="0.2"/>
  <cols>
    <col min="1" max="1" width="1.7109375" style="1" customWidth="1"/>
    <col min="2" max="2" width="43.5703125" style="4" customWidth="1"/>
    <col min="3" max="4" width="15.28515625" style="3" customWidth="1"/>
    <col min="5" max="5" width="15.28515625" style="1" customWidth="1"/>
    <col min="6" max="6" width="4.7109375" style="1" customWidth="1"/>
    <col min="7" max="7" width="43.5703125" style="4" customWidth="1"/>
    <col min="8" max="9" width="15.28515625" style="3" customWidth="1"/>
    <col min="10" max="10" width="15.28515625" style="1" customWidth="1"/>
    <col min="11" max="11" width="1.7109375" style="1" customWidth="1"/>
    <col min="12" max="13" width="9.140625" style="1"/>
    <col min="14" max="14" width="17.7109375" style="1" customWidth="1"/>
    <col min="15" max="15" width="10.140625" style="1" customWidth="1"/>
    <col min="16" max="16" width="9.140625" style="1"/>
    <col min="17" max="17" width="9.42578125" style="1" customWidth="1"/>
    <col min="18" max="16384" width="9.140625" style="1"/>
  </cols>
  <sheetData>
    <row r="1" spans="1:26" ht="18.75" customHeight="1" x14ac:dyDescent="0.2">
      <c r="B1" s="5"/>
      <c r="C1" s="35"/>
      <c r="D1" s="35"/>
      <c r="E1" s="6"/>
      <c r="F1" s="6"/>
      <c r="G1" s="6"/>
      <c r="H1" s="6"/>
      <c r="I1" s="6"/>
      <c r="J1" s="6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s="2" customFormat="1" ht="81.75" customHeight="1" x14ac:dyDescent="1.45">
      <c r="A2" s="7"/>
      <c r="B2" s="47" t="s">
        <v>0</v>
      </c>
      <c r="C2" s="47"/>
      <c r="D2" s="47"/>
      <c r="E2" s="47"/>
      <c r="F2" s="47"/>
      <c r="G2" s="47"/>
      <c r="H2" s="47"/>
      <c r="I2" s="47"/>
      <c r="J2" s="47"/>
      <c r="K2" s="11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</row>
    <row r="3" spans="1:26" ht="25.9" customHeight="1" x14ac:dyDescent="0.2">
      <c r="B3" s="8"/>
      <c r="C3" s="36"/>
      <c r="D3" s="36"/>
      <c r="E3" s="9"/>
      <c r="F3" s="9"/>
      <c r="G3" s="10"/>
      <c r="H3" s="37"/>
      <c r="I3" s="37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25.9" customHeight="1" x14ac:dyDescent="0.2">
      <c r="B4" s="8"/>
      <c r="C4" s="36"/>
      <c r="D4" s="36"/>
      <c r="E4" s="9"/>
      <c r="F4" s="9"/>
      <c r="G4" s="10"/>
      <c r="H4" s="37"/>
      <c r="I4" s="37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25.9" customHeight="1" x14ac:dyDescent="0.2">
      <c r="B5" s="22" t="s">
        <v>1</v>
      </c>
      <c r="C5" s="38" t="s">
        <v>42</v>
      </c>
      <c r="D5" s="38" t="s">
        <v>43</v>
      </c>
      <c r="E5" s="38" t="s">
        <v>44</v>
      </c>
      <c r="F5" s="9"/>
      <c r="G5" s="24" t="s">
        <v>45</v>
      </c>
      <c r="H5" s="11"/>
      <c r="I5" s="11"/>
      <c r="J5" s="11"/>
      <c r="K5" s="9"/>
      <c r="L5" s="9"/>
      <c r="M5" s="15" t="s">
        <v>83</v>
      </c>
      <c r="N5" s="15" t="s">
        <v>84</v>
      </c>
      <c r="O5" s="15" t="s">
        <v>94</v>
      </c>
      <c r="P5" s="16" t="s">
        <v>95</v>
      </c>
      <c r="Q5" s="15" t="s">
        <v>96</v>
      </c>
      <c r="R5" s="15" t="s">
        <v>97</v>
      </c>
      <c r="S5" s="9"/>
      <c r="T5" s="9"/>
      <c r="U5" s="9"/>
      <c r="V5" s="9"/>
      <c r="W5" s="9"/>
      <c r="X5" s="9"/>
      <c r="Y5" s="9"/>
      <c r="Z5" s="9"/>
    </row>
    <row r="6" spans="1:26" ht="25.9" customHeight="1" x14ac:dyDescent="0.2">
      <c r="B6" s="23" t="str">
        <f t="shared" ref="B6:B15" si="0">VLOOKUP($R6,$M$6:$P$15,2,FALSE)</f>
        <v>Recepción</v>
      </c>
      <c r="C6" s="39">
        <f t="shared" ref="C6:C15" si="1">VLOOKUP($R6,$M$6:$P$15,3,FALSE)</f>
        <v>5500</v>
      </c>
      <c r="D6" s="39">
        <f t="shared" ref="D6:D15" si="2">VLOOKUP($R6,$M$6:$P$15,4,FALSE)</f>
        <v>5300</v>
      </c>
      <c r="E6" s="39">
        <f>TBL_Summary[[#This Row],[REAL]]-TBL_Summary[[#This Row],[ESTIMADO]]</f>
        <v>-200</v>
      </c>
      <c r="F6" s="12"/>
      <c r="G6" s="11"/>
      <c r="H6" s="11"/>
      <c r="I6" s="11"/>
      <c r="J6" s="11"/>
      <c r="K6" s="9"/>
      <c r="L6" s="9"/>
      <c r="M6" s="15">
        <f t="shared" ref="M6:M15" si="3">_xlfn.RANK.EQ(Q6,$Q$6:$Q$15)</f>
        <v>2</v>
      </c>
      <c r="N6" s="17" t="s">
        <v>85</v>
      </c>
      <c r="O6" s="18">
        <f>TBL_Apparel[[#Totals],[ESTIMADO]]</f>
        <v>5000</v>
      </c>
      <c r="P6" s="18">
        <f>TBL_Apparel[[#Totals],[REAL]]</f>
        <v>5000</v>
      </c>
      <c r="Q6" s="19">
        <f>P6+ROW(P6)/10000</f>
        <v>5000.0006000000003</v>
      </c>
      <c r="R6" s="15">
        <v>1</v>
      </c>
      <c r="S6" s="9"/>
      <c r="T6" s="9"/>
      <c r="U6" s="9"/>
      <c r="V6" s="9"/>
      <c r="W6" s="9"/>
      <c r="X6" s="9"/>
      <c r="Y6" s="9"/>
      <c r="Z6" s="9"/>
    </row>
    <row r="7" spans="1:26" ht="25.9" customHeight="1" x14ac:dyDescent="0.2">
      <c r="B7" s="23" t="str">
        <f t="shared" si="0"/>
        <v>Ropa</v>
      </c>
      <c r="C7" s="39">
        <f t="shared" si="1"/>
        <v>5000</v>
      </c>
      <c r="D7" s="39">
        <f t="shared" si="2"/>
        <v>5000</v>
      </c>
      <c r="E7" s="39">
        <f>TBL_Summary[[#This Row],[REAL]]-TBL_Summary[[#This Row],[ESTIMADO]]</f>
        <v>0</v>
      </c>
      <c r="F7" s="12"/>
      <c r="G7" s="12"/>
      <c r="H7" s="11"/>
      <c r="I7" s="11"/>
      <c r="J7" s="11"/>
      <c r="K7" s="9"/>
      <c r="L7" s="9"/>
      <c r="M7" s="15">
        <f t="shared" si="3"/>
        <v>4</v>
      </c>
      <c r="N7" s="17" t="s">
        <v>86</v>
      </c>
      <c r="O7" s="18">
        <f>TBL_Decorations[[#Totals],[ESTIMADO]]</f>
        <v>2300</v>
      </c>
      <c r="P7" s="18">
        <f>TBL_Decorations[[#Totals],[REAL]]</f>
        <v>2300</v>
      </c>
      <c r="Q7" s="19">
        <f t="shared" ref="Q7:Q15" si="4">P7+ROW(P7)/10000</f>
        <v>2300.0007000000001</v>
      </c>
      <c r="R7" s="15">
        <v>2</v>
      </c>
      <c r="S7" s="9"/>
      <c r="T7" s="9"/>
      <c r="U7" s="9"/>
      <c r="V7" s="9"/>
      <c r="W7" s="9"/>
      <c r="X7" s="9"/>
      <c r="Y7" s="9"/>
      <c r="Z7" s="9"/>
    </row>
    <row r="8" spans="1:26" ht="25.9" customHeight="1" x14ac:dyDescent="0.2">
      <c r="B8" s="23" t="str">
        <f t="shared" si="0"/>
        <v>Fotografía</v>
      </c>
      <c r="C8" s="39">
        <f t="shared" si="1"/>
        <v>2950</v>
      </c>
      <c r="D8" s="39">
        <f t="shared" si="2"/>
        <v>2950</v>
      </c>
      <c r="E8" s="39">
        <f>TBL_Summary[[#This Row],[REAL]]-TBL_Summary[[#This Row],[ESTIMADO]]</f>
        <v>0</v>
      </c>
      <c r="F8" s="12"/>
      <c r="G8" s="12"/>
      <c r="H8" s="11"/>
      <c r="I8" s="11"/>
      <c r="J8" s="11"/>
      <c r="K8" s="9"/>
      <c r="L8" s="9"/>
      <c r="M8" s="15">
        <f t="shared" si="3"/>
        <v>6</v>
      </c>
      <c r="N8" s="17" t="s">
        <v>87</v>
      </c>
      <c r="O8" s="18">
        <f>TBL_Gifts[[#Totals],[ESTIMADO]]</f>
        <v>1400</v>
      </c>
      <c r="P8" s="18">
        <f>TBL_Gifts[[#Totals],[REAL]]</f>
        <v>1300</v>
      </c>
      <c r="Q8" s="19">
        <f t="shared" si="4"/>
        <v>1300.0008</v>
      </c>
      <c r="R8" s="15">
        <v>3</v>
      </c>
      <c r="S8" s="9"/>
      <c r="T8" s="9"/>
      <c r="U8" s="9"/>
      <c r="V8" s="9"/>
      <c r="W8" s="9"/>
      <c r="X8" s="9"/>
      <c r="Y8" s="9"/>
      <c r="Z8" s="9"/>
    </row>
    <row r="9" spans="1:26" ht="25.9" customHeight="1" x14ac:dyDescent="0.2">
      <c r="B9" s="23" t="str">
        <f t="shared" si="0"/>
        <v>Decoración</v>
      </c>
      <c r="C9" s="39">
        <f t="shared" si="1"/>
        <v>2300</v>
      </c>
      <c r="D9" s="39">
        <f t="shared" si="2"/>
        <v>2300</v>
      </c>
      <c r="E9" s="39">
        <f>TBL_Summary[[#This Row],[REAL]]-TBL_Summary[[#This Row],[ESTIMADO]]</f>
        <v>0</v>
      </c>
      <c r="F9" s="12"/>
      <c r="G9" s="12"/>
      <c r="H9" s="11"/>
      <c r="I9" s="11"/>
      <c r="J9" s="11"/>
      <c r="K9" s="9"/>
      <c r="L9" s="9"/>
      <c r="M9" s="15">
        <f t="shared" si="3"/>
        <v>8</v>
      </c>
      <c r="N9" s="17" t="s">
        <v>88</v>
      </c>
      <c r="O9" s="18">
        <f>TBL_Flowers[[#Totals],[ESTIMADO]]</f>
        <v>800</v>
      </c>
      <c r="P9" s="18">
        <f>TBL_Flowers[[#Totals],[REAL]]</f>
        <v>800</v>
      </c>
      <c r="Q9" s="19">
        <f t="shared" si="4"/>
        <v>800.0009</v>
      </c>
      <c r="R9" s="15">
        <v>4</v>
      </c>
      <c r="S9" s="9"/>
      <c r="T9" s="9"/>
      <c r="U9" s="9"/>
      <c r="V9" s="9"/>
      <c r="W9" s="9"/>
      <c r="X9" s="9"/>
      <c r="Y9" s="9"/>
      <c r="Z9" s="9"/>
    </row>
    <row r="10" spans="1:26" ht="25.9" customHeight="1" x14ac:dyDescent="0.2">
      <c r="B10" s="23" t="str">
        <f t="shared" si="0"/>
        <v>Transporte</v>
      </c>
      <c r="C10" s="39">
        <f t="shared" si="1"/>
        <v>1450</v>
      </c>
      <c r="D10" s="39">
        <f t="shared" si="2"/>
        <v>1400</v>
      </c>
      <c r="E10" s="39">
        <f>TBL_Summary[[#This Row],[REAL]]-TBL_Summary[[#This Row],[ESTIMADO]]</f>
        <v>-50</v>
      </c>
      <c r="F10" s="12"/>
      <c r="G10" s="12"/>
      <c r="H10" s="11"/>
      <c r="I10" s="11"/>
      <c r="J10" s="11"/>
      <c r="K10" s="9"/>
      <c r="L10" s="9"/>
      <c r="M10" s="15">
        <f t="shared" si="3"/>
        <v>7</v>
      </c>
      <c r="N10" s="17" t="s">
        <v>89</v>
      </c>
      <c r="O10" s="18">
        <f>TBL_Music[[#Totals],[ESTIMADO]]</f>
        <v>1200</v>
      </c>
      <c r="P10" s="18">
        <f>TBL_Music[[#Totals],[REAL]]</f>
        <v>1250</v>
      </c>
      <c r="Q10" s="19">
        <f t="shared" si="4"/>
        <v>1250.001</v>
      </c>
      <c r="R10" s="15">
        <v>5</v>
      </c>
      <c r="S10" s="9"/>
      <c r="T10" s="9"/>
      <c r="U10" s="9"/>
      <c r="V10" s="9"/>
      <c r="W10" s="9"/>
      <c r="X10" s="9"/>
      <c r="Y10" s="9"/>
      <c r="Z10" s="9"/>
    </row>
    <row r="11" spans="1:26" ht="25.9" customHeight="1" x14ac:dyDescent="0.2">
      <c r="B11" s="23" t="str">
        <f t="shared" si="0"/>
        <v>Regalos</v>
      </c>
      <c r="C11" s="39">
        <f t="shared" si="1"/>
        <v>1400</v>
      </c>
      <c r="D11" s="39">
        <f t="shared" si="2"/>
        <v>1300</v>
      </c>
      <c r="E11" s="39">
        <f>TBL_Summary[[#This Row],[REAL]]-TBL_Summary[[#This Row],[ESTIMADO]]</f>
        <v>-100</v>
      </c>
      <c r="F11" s="12"/>
      <c r="G11" s="12"/>
      <c r="H11" s="11"/>
      <c r="I11" s="11"/>
      <c r="J11" s="11"/>
      <c r="K11" s="9"/>
      <c r="L11" s="9"/>
      <c r="M11" s="15">
        <f t="shared" si="3"/>
        <v>3</v>
      </c>
      <c r="N11" s="17" t="s">
        <v>90</v>
      </c>
      <c r="O11" s="18">
        <f>TBL_Photography[[#Totals],[ESTIMADO]]</f>
        <v>2950</v>
      </c>
      <c r="P11" s="18">
        <f>TBL_Photography[[#Totals],[REAL]]</f>
        <v>2950</v>
      </c>
      <c r="Q11" s="19">
        <f t="shared" si="4"/>
        <v>2950.0011</v>
      </c>
      <c r="R11" s="15">
        <v>6</v>
      </c>
      <c r="S11" s="9"/>
      <c r="T11" s="9"/>
      <c r="U11" s="9"/>
      <c r="V11" s="9"/>
      <c r="W11" s="9"/>
      <c r="X11" s="9"/>
      <c r="Y11" s="9"/>
      <c r="Z11" s="9"/>
    </row>
    <row r="12" spans="1:26" ht="25.9" customHeight="1" x14ac:dyDescent="0.2">
      <c r="B12" s="23" t="str">
        <f t="shared" si="0"/>
        <v>Música</v>
      </c>
      <c r="C12" s="39">
        <f t="shared" si="1"/>
        <v>1200</v>
      </c>
      <c r="D12" s="39">
        <f t="shared" si="2"/>
        <v>1250</v>
      </c>
      <c r="E12" s="39">
        <f>TBL_Summary[[#This Row],[REAL]]-TBL_Summary[[#This Row],[ESTIMADO]]</f>
        <v>50</v>
      </c>
      <c r="F12" s="12"/>
      <c r="G12" s="12"/>
      <c r="H12" s="11"/>
      <c r="I12" s="11"/>
      <c r="J12" s="11"/>
      <c r="K12" s="9"/>
      <c r="L12" s="9"/>
      <c r="M12" s="15">
        <f t="shared" si="3"/>
        <v>1</v>
      </c>
      <c r="N12" s="17" t="s">
        <v>58</v>
      </c>
      <c r="O12" s="18">
        <f>TBL_Reception[[#Totals],[ESTIMADO]]</f>
        <v>5500</v>
      </c>
      <c r="P12" s="18">
        <f>TBL_Reception[[#Totals],[REAL]]</f>
        <v>5300</v>
      </c>
      <c r="Q12" s="19">
        <f t="shared" si="4"/>
        <v>5300.0011999999997</v>
      </c>
      <c r="R12" s="15">
        <v>7</v>
      </c>
      <c r="S12" s="9"/>
      <c r="T12" s="9"/>
      <c r="U12" s="9"/>
      <c r="V12" s="9"/>
      <c r="W12" s="9"/>
      <c r="X12" s="9"/>
      <c r="Y12" s="9"/>
      <c r="Z12" s="9"/>
    </row>
    <row r="13" spans="1:26" ht="25.9" customHeight="1" x14ac:dyDescent="0.2">
      <c r="B13" s="23" t="str">
        <f t="shared" si="0"/>
        <v>Flores</v>
      </c>
      <c r="C13" s="39">
        <f t="shared" si="1"/>
        <v>800</v>
      </c>
      <c r="D13" s="39">
        <f t="shared" si="2"/>
        <v>800</v>
      </c>
      <c r="E13" s="39">
        <f>TBL_Summary[[#This Row],[REAL]]-TBL_Summary[[#This Row],[ESTIMADO]]</f>
        <v>0</v>
      </c>
      <c r="F13" s="12"/>
      <c r="G13" s="12"/>
      <c r="H13" s="11"/>
      <c r="I13" s="11"/>
      <c r="J13" s="11"/>
      <c r="K13" s="9"/>
      <c r="L13" s="9"/>
      <c r="M13" s="15">
        <f t="shared" si="3"/>
        <v>9</v>
      </c>
      <c r="N13" s="17" t="s">
        <v>91</v>
      </c>
      <c r="O13" s="18">
        <f>TBL_Stationery[[#Totals],[ESTIMADO]]</f>
        <v>400</v>
      </c>
      <c r="P13" s="18">
        <f>TBL_Stationery[[#Totals],[REAL]]</f>
        <v>400</v>
      </c>
      <c r="Q13" s="19">
        <f t="shared" si="4"/>
        <v>400.00130000000001</v>
      </c>
      <c r="R13" s="15">
        <v>8</v>
      </c>
      <c r="S13" s="9"/>
      <c r="T13" s="9"/>
      <c r="U13" s="9"/>
      <c r="V13" s="9"/>
      <c r="W13" s="9"/>
      <c r="X13" s="9"/>
      <c r="Y13" s="9"/>
      <c r="Z13" s="9"/>
    </row>
    <row r="14" spans="1:26" ht="25.9" customHeight="1" x14ac:dyDescent="0.2">
      <c r="B14" s="23" t="str">
        <f t="shared" si="0"/>
        <v>Impresión o papelería</v>
      </c>
      <c r="C14" s="39">
        <f t="shared" si="1"/>
        <v>400</v>
      </c>
      <c r="D14" s="39">
        <f t="shared" si="2"/>
        <v>400</v>
      </c>
      <c r="E14" s="39">
        <f>TBL_Summary[[#This Row],[REAL]]-TBL_Summary[[#This Row],[ESTIMADO]]</f>
        <v>0</v>
      </c>
      <c r="F14" s="12"/>
      <c r="G14" s="12"/>
      <c r="H14" s="11"/>
      <c r="I14" s="11"/>
      <c r="J14" s="11"/>
      <c r="K14" s="9"/>
      <c r="L14" s="9"/>
      <c r="M14" s="15">
        <f t="shared" si="3"/>
        <v>5</v>
      </c>
      <c r="N14" s="17" t="s">
        <v>92</v>
      </c>
      <c r="O14" s="18">
        <f>TBL_Transportation[[#Totals],[ESTIMADO]]</f>
        <v>1450</v>
      </c>
      <c r="P14" s="18">
        <f>TBL_Transportation[[#Totals],[REAL]]</f>
        <v>1400</v>
      </c>
      <c r="Q14" s="19">
        <f t="shared" si="4"/>
        <v>1400.0014000000001</v>
      </c>
      <c r="R14" s="15">
        <v>9</v>
      </c>
      <c r="S14" s="9"/>
      <c r="T14" s="9"/>
      <c r="U14" s="9"/>
      <c r="V14" s="9"/>
      <c r="W14" s="9"/>
      <c r="X14" s="9"/>
      <c r="Y14" s="9"/>
      <c r="Z14" s="9"/>
    </row>
    <row r="15" spans="1:26" ht="25.9" customHeight="1" x14ac:dyDescent="0.2">
      <c r="B15" s="23" t="str">
        <f t="shared" si="0"/>
        <v>Otros gastos</v>
      </c>
      <c r="C15" s="39">
        <f t="shared" si="1"/>
        <v>300</v>
      </c>
      <c r="D15" s="39">
        <f t="shared" si="2"/>
        <v>300</v>
      </c>
      <c r="E15" s="39">
        <f>TBL_Summary[[#This Row],[REAL]]-TBL_Summary[[#This Row],[ESTIMADO]]</f>
        <v>0</v>
      </c>
      <c r="F15" s="12"/>
      <c r="G15" s="12"/>
      <c r="H15" s="11"/>
      <c r="I15" s="11"/>
      <c r="J15" s="11"/>
      <c r="K15" s="9"/>
      <c r="L15" s="9"/>
      <c r="M15" s="15">
        <f t="shared" si="3"/>
        <v>10</v>
      </c>
      <c r="N15" s="17" t="s">
        <v>93</v>
      </c>
      <c r="O15" s="18">
        <f>TBL_OtherExpenses[[#Totals],[ESTIMADO]]</f>
        <v>300</v>
      </c>
      <c r="P15" s="18">
        <f>TBL_OtherExpenses[[#Totals],[REAL]]</f>
        <v>300</v>
      </c>
      <c r="Q15" s="19">
        <f t="shared" si="4"/>
        <v>300.00150000000002</v>
      </c>
      <c r="R15" s="15">
        <v>10</v>
      </c>
      <c r="S15" s="9"/>
      <c r="T15" s="9"/>
      <c r="U15" s="9"/>
      <c r="V15" s="9"/>
      <c r="W15" s="9"/>
      <c r="X15" s="9"/>
      <c r="Y15" s="9"/>
      <c r="Z15" s="9"/>
    </row>
    <row r="16" spans="1:26" ht="25.9" customHeight="1" x14ac:dyDescent="0.2">
      <c r="B16" s="22" t="s">
        <v>2</v>
      </c>
      <c r="C16" s="38">
        <f>SUBTOTAL(109,TBL_Summary[ESTIMADO])</f>
        <v>21300</v>
      </c>
      <c r="D16" s="38">
        <f>SUBTOTAL(109,TBL_Summary[REAL])</f>
        <v>21000</v>
      </c>
      <c r="E16" s="40">
        <f>SUBTOTAL(103,TBL_Summary[DIFERENCIA])</f>
        <v>10</v>
      </c>
      <c r="F16" s="12"/>
      <c r="G16" s="12"/>
      <c r="H16" s="11"/>
      <c r="I16" s="11"/>
      <c r="J16" s="11"/>
      <c r="K16" s="9"/>
      <c r="L16" s="9"/>
      <c r="M16" s="9"/>
      <c r="N16" s="9"/>
      <c r="O16" s="9"/>
      <c r="P16" s="20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2:26" ht="25.9" customHeight="1" x14ac:dyDescent="0.2">
      <c r="B17" s="21"/>
      <c r="C17" s="21"/>
      <c r="D17" s="21"/>
      <c r="E17" s="21"/>
      <c r="F17" s="13"/>
      <c r="G17" s="10"/>
      <c r="H17" s="37"/>
      <c r="I17" s="37"/>
      <c r="J17" s="9"/>
      <c r="K17" s="9"/>
      <c r="L17" s="9"/>
      <c r="M17" s="9"/>
      <c r="N17" s="20"/>
      <c r="O17" s="20"/>
      <c r="P17" s="20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2:26" ht="25.9" customHeight="1" x14ac:dyDescent="0.2">
      <c r="B18" s="21"/>
      <c r="C18" s="21"/>
      <c r="D18" s="21"/>
      <c r="E18" s="21"/>
      <c r="F18" s="13"/>
      <c r="G18" s="10"/>
      <c r="H18" s="37"/>
      <c r="I18" s="37"/>
      <c r="J18" s="9"/>
      <c r="K18" s="9"/>
      <c r="L18" s="9"/>
      <c r="M18" s="9"/>
      <c r="N18" s="20"/>
      <c r="O18" s="20"/>
      <c r="P18" s="20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2:26" ht="25.9" customHeight="1" x14ac:dyDescent="0.2">
      <c r="B19" s="21"/>
      <c r="C19" s="21"/>
      <c r="D19" s="21"/>
      <c r="E19" s="21"/>
      <c r="F19" s="13"/>
      <c r="G19" s="10"/>
      <c r="H19" s="37"/>
      <c r="I19" s="37"/>
      <c r="J19" s="9"/>
      <c r="K19" s="9"/>
      <c r="L19" s="9"/>
      <c r="M19" s="9"/>
      <c r="N19" s="20"/>
      <c r="O19" s="20"/>
      <c r="P19" s="20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2:26" ht="25.9" customHeight="1" x14ac:dyDescent="0.2">
      <c r="B20" s="25" t="s">
        <v>3</v>
      </c>
      <c r="C20" s="41" t="s">
        <v>42</v>
      </c>
      <c r="D20" s="41" t="s">
        <v>43</v>
      </c>
      <c r="E20" s="26" t="s">
        <v>44</v>
      </c>
      <c r="F20" s="27"/>
      <c r="G20" s="25" t="s">
        <v>46</v>
      </c>
      <c r="H20" s="41" t="s">
        <v>42</v>
      </c>
      <c r="I20" s="41" t="s">
        <v>43</v>
      </c>
      <c r="J20" s="26" t="s">
        <v>44</v>
      </c>
      <c r="K20" s="9"/>
      <c r="L20" s="9"/>
      <c r="M20" s="9"/>
      <c r="N20" s="20"/>
      <c r="O20" s="20"/>
      <c r="P20" s="20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2:26" ht="25.9" customHeight="1" x14ac:dyDescent="0.2">
      <c r="B21" s="23" t="s">
        <v>4</v>
      </c>
      <c r="C21" s="39">
        <v>5000</v>
      </c>
      <c r="D21" s="39">
        <v>5000</v>
      </c>
      <c r="E21" s="45">
        <f>TBL_Apparel[[#This Row],[REAL]]-TBL_Apparel[[#This Row],[ESTIMADO]]</f>
        <v>0</v>
      </c>
      <c r="F21" s="28"/>
      <c r="G21" s="23" t="s">
        <v>47</v>
      </c>
      <c r="H21" s="39">
        <v>1800</v>
      </c>
      <c r="I21" s="39">
        <v>1800</v>
      </c>
      <c r="J21" s="45">
        <f>TBL_Decorations[[#This Row],[REAL]]-TBL_Decorations[[#This Row],[ESTIMADO]]</f>
        <v>0</v>
      </c>
      <c r="K21" s="9"/>
      <c r="L21" s="9"/>
      <c r="M21" s="9"/>
      <c r="N21" s="20"/>
      <c r="O21" s="20"/>
      <c r="P21" s="20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2:26" ht="25.9" customHeight="1" x14ac:dyDescent="0.2">
      <c r="B22" s="23" t="s">
        <v>5</v>
      </c>
      <c r="C22" s="39">
        <v>0</v>
      </c>
      <c r="D22" s="39">
        <v>0</v>
      </c>
      <c r="E22" s="45">
        <f>TBL_Apparel[[#This Row],[REAL]]-TBL_Apparel[[#This Row],[ESTIMADO]]</f>
        <v>0</v>
      </c>
      <c r="F22" s="28"/>
      <c r="G22" s="23" t="s">
        <v>48</v>
      </c>
      <c r="H22" s="39">
        <v>500</v>
      </c>
      <c r="I22" s="39">
        <v>500</v>
      </c>
      <c r="J22" s="45">
        <f>TBL_Decorations[[#This Row],[REAL]]-TBL_Decorations[[#This Row],[ESTIMADO]]</f>
        <v>0</v>
      </c>
      <c r="K22" s="9"/>
      <c r="L22" s="9"/>
      <c r="M22" s="9"/>
      <c r="N22" s="20"/>
      <c r="O22" s="20"/>
      <c r="P22" s="20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2:26" ht="25.9" customHeight="1" x14ac:dyDescent="0.2">
      <c r="B23" s="23" t="s">
        <v>6</v>
      </c>
      <c r="C23" s="39">
        <v>0</v>
      </c>
      <c r="D23" s="39">
        <v>0</v>
      </c>
      <c r="E23" s="45">
        <f>TBL_Apparel[[#This Row],[REAL]]-TBL_Apparel[[#This Row],[ESTIMADO]]</f>
        <v>0</v>
      </c>
      <c r="F23" s="28"/>
      <c r="G23" s="23" t="s">
        <v>49</v>
      </c>
      <c r="H23" s="39">
        <v>0</v>
      </c>
      <c r="I23" s="39">
        <v>0</v>
      </c>
      <c r="J23" s="45">
        <f>TBL_Decorations[[#This Row],[REAL]]-TBL_Decorations[[#This Row],[ESTIMADO]]</f>
        <v>0</v>
      </c>
      <c r="K23" s="9"/>
      <c r="L23" s="9"/>
      <c r="M23" s="9"/>
      <c r="N23" s="20"/>
      <c r="O23" s="20"/>
      <c r="P23" s="20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2:26" ht="25.9" customHeight="1" x14ac:dyDescent="0.2">
      <c r="B24" s="23" t="s">
        <v>7</v>
      </c>
      <c r="C24" s="39">
        <v>0</v>
      </c>
      <c r="D24" s="39">
        <v>0</v>
      </c>
      <c r="E24" s="45">
        <f>TBL_Apparel[[#This Row],[REAL]]-TBL_Apparel[[#This Row],[ESTIMADO]]</f>
        <v>0</v>
      </c>
      <c r="F24" s="28"/>
      <c r="G24" s="23" t="s">
        <v>50</v>
      </c>
      <c r="H24" s="39">
        <v>0</v>
      </c>
      <c r="I24" s="39">
        <v>0</v>
      </c>
      <c r="J24" s="45">
        <f>TBL_Decorations[[#This Row],[REAL]]-TBL_Decorations[[#This Row],[ESTIMADO]]</f>
        <v>0</v>
      </c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2:26" ht="25.9" customHeight="1" x14ac:dyDescent="0.2">
      <c r="B25" s="23" t="s">
        <v>8</v>
      </c>
      <c r="C25" s="39">
        <v>0</v>
      </c>
      <c r="D25" s="39">
        <v>0</v>
      </c>
      <c r="E25" s="45">
        <f>TBL_Apparel[[#This Row],[REAL]]-TBL_Apparel[[#This Row],[ESTIMADO]]</f>
        <v>0</v>
      </c>
      <c r="F25" s="28"/>
      <c r="G25" s="23" t="s">
        <v>51</v>
      </c>
      <c r="H25" s="39">
        <v>0</v>
      </c>
      <c r="I25" s="39">
        <v>0</v>
      </c>
      <c r="J25" s="45">
        <f>TBL_Decorations[[#This Row],[REAL]]-TBL_Decorations[[#This Row],[ESTIMADO]]</f>
        <v>0</v>
      </c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2:26" ht="25.9" customHeight="1" x14ac:dyDescent="0.2">
      <c r="B26" s="23" t="s">
        <v>9</v>
      </c>
      <c r="C26" s="39">
        <v>0</v>
      </c>
      <c r="D26" s="39">
        <v>0</v>
      </c>
      <c r="E26" s="45">
        <f>TBL_Apparel[[#This Row],[REAL]]-TBL_Apparel[[#This Row],[ESTIMADO]]</f>
        <v>0</v>
      </c>
      <c r="F26" s="28"/>
      <c r="G26" s="23" t="s">
        <v>11</v>
      </c>
      <c r="H26" s="39">
        <v>0</v>
      </c>
      <c r="I26" s="39">
        <v>0</v>
      </c>
      <c r="J26" s="45">
        <f>TBL_Decorations[[#This Row],[REAL]]-TBL_Decorations[[#This Row],[ESTIMADO]]</f>
        <v>0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2:26" ht="25.9" customHeight="1" x14ac:dyDescent="0.2">
      <c r="B27" s="23" t="s">
        <v>10</v>
      </c>
      <c r="C27" s="39">
        <v>0</v>
      </c>
      <c r="D27" s="39">
        <v>0</v>
      </c>
      <c r="E27" s="45">
        <f>TBL_Apparel[[#This Row],[REAL]]-TBL_Apparel[[#This Row],[ESTIMADO]]</f>
        <v>0</v>
      </c>
      <c r="F27" s="28"/>
      <c r="G27" s="25" t="s">
        <v>52</v>
      </c>
      <c r="H27" s="41">
        <f>SUBTOTAL(109,TBL_Decorations[ESTIMADO])</f>
        <v>2300</v>
      </c>
      <c r="I27" s="41">
        <f>SUBTOTAL(109,TBL_Decorations[REAL])</f>
        <v>2300</v>
      </c>
      <c r="J27" s="46">
        <f>SUBTOTAL(109,TBL_Decorations[DIFERENCIA])</f>
        <v>0</v>
      </c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2:26" ht="25.9" customHeight="1" x14ac:dyDescent="0.2">
      <c r="B28" s="23" t="s">
        <v>11</v>
      </c>
      <c r="C28" s="39">
        <v>0</v>
      </c>
      <c r="D28" s="39">
        <v>0</v>
      </c>
      <c r="E28" s="45">
        <f>TBL_Apparel[[#This Row],[REAL]]-TBL_Apparel[[#This Row],[ESTIMADO]]</f>
        <v>0</v>
      </c>
      <c r="F28" s="28"/>
      <c r="G28" s="29"/>
      <c r="H28" s="29"/>
      <c r="I28" s="29"/>
      <c r="J28" s="2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2:26" ht="25.9" customHeight="1" x14ac:dyDescent="0.2">
      <c r="B29" s="25" t="s">
        <v>12</v>
      </c>
      <c r="C29" s="41">
        <f>SUBTOTAL(109,TBL_Apparel[ESTIMADO])</f>
        <v>5000</v>
      </c>
      <c r="D29" s="41">
        <f>SUBTOTAL(109,TBL_Apparel[REAL])</f>
        <v>5000</v>
      </c>
      <c r="E29" s="45">
        <f>SUBTOTAL(109,TBL_Apparel[DIFERENCIA])</f>
        <v>0</v>
      </c>
      <c r="F29" s="28"/>
      <c r="G29" s="29"/>
      <c r="H29" s="29"/>
      <c r="I29" s="29"/>
      <c r="J29" s="2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2:26" ht="25.9" customHeight="1" x14ac:dyDescent="0.2">
      <c r="B30" s="30"/>
      <c r="C30" s="30"/>
      <c r="D30" s="30"/>
      <c r="E30" s="30"/>
      <c r="F30" s="28"/>
      <c r="G30" s="25" t="s">
        <v>53</v>
      </c>
      <c r="H30" s="41" t="s">
        <v>42</v>
      </c>
      <c r="I30" s="41" t="s">
        <v>43</v>
      </c>
      <c r="J30" s="26" t="s">
        <v>44</v>
      </c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2:26" ht="25.9" customHeight="1" x14ac:dyDescent="0.2">
      <c r="B31" s="30"/>
      <c r="C31" s="30"/>
      <c r="D31" s="30"/>
      <c r="E31" s="30"/>
      <c r="F31" s="28"/>
      <c r="G31" s="23" t="s">
        <v>54</v>
      </c>
      <c r="H31" s="39">
        <v>800</v>
      </c>
      <c r="I31" s="39">
        <v>800</v>
      </c>
      <c r="J31" s="45">
        <f>TBL_Flowers[[#This Row],[REAL]]-TBL_Flowers[[#This Row],[ESTIMADO]]</f>
        <v>0</v>
      </c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2:26" ht="25.9" customHeight="1" x14ac:dyDescent="0.2">
      <c r="B32" s="25" t="s">
        <v>13</v>
      </c>
      <c r="C32" s="41" t="s">
        <v>42</v>
      </c>
      <c r="D32" s="41" t="s">
        <v>43</v>
      </c>
      <c r="E32" s="26" t="s">
        <v>44</v>
      </c>
      <c r="F32" s="28"/>
      <c r="G32" s="23" t="s">
        <v>55</v>
      </c>
      <c r="H32" s="39">
        <v>0</v>
      </c>
      <c r="I32" s="39">
        <v>0</v>
      </c>
      <c r="J32" s="45">
        <f>TBL_Flowers[[#This Row],[REAL]]-TBL_Flowers[[#This Row],[ESTIMADO]]</f>
        <v>0</v>
      </c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2:26" ht="25.9" customHeight="1" x14ac:dyDescent="0.2">
      <c r="B33" s="23" t="s">
        <v>14</v>
      </c>
      <c r="C33" s="39">
        <v>1200</v>
      </c>
      <c r="D33" s="39">
        <v>1100</v>
      </c>
      <c r="E33" s="45">
        <f>TBL_Gifts[[#This Row],[REAL]]-TBL_Gifts[[#This Row],[ESTIMADO]]</f>
        <v>-100</v>
      </c>
      <c r="F33" s="28"/>
      <c r="G33" s="23" t="s">
        <v>56</v>
      </c>
      <c r="H33" s="39">
        <v>0</v>
      </c>
      <c r="I33" s="39">
        <v>0</v>
      </c>
      <c r="J33" s="45">
        <f>TBL_Flowers[[#This Row],[REAL]]-TBL_Flowers[[#This Row],[ESTIMADO]]</f>
        <v>0</v>
      </c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2:26" ht="25.9" customHeight="1" x14ac:dyDescent="0.2">
      <c r="B34" s="23" t="s">
        <v>15</v>
      </c>
      <c r="C34" s="39">
        <v>200</v>
      </c>
      <c r="D34" s="39">
        <v>200</v>
      </c>
      <c r="E34" s="45">
        <f>TBL_Gifts[[#This Row],[REAL]]-TBL_Gifts[[#This Row],[ESTIMADO]]</f>
        <v>0</v>
      </c>
      <c r="F34" s="28"/>
      <c r="G34" s="23" t="s">
        <v>57</v>
      </c>
      <c r="H34" s="39">
        <v>0</v>
      </c>
      <c r="I34" s="39">
        <v>0</v>
      </c>
      <c r="J34" s="45">
        <f>TBL_Flowers[[#This Row],[REAL]]-TBL_Flowers[[#This Row],[ESTIMADO]]</f>
        <v>0</v>
      </c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2:26" ht="25.9" customHeight="1" x14ac:dyDescent="0.2">
      <c r="B35" s="23" t="s">
        <v>16</v>
      </c>
      <c r="C35" s="39">
        <v>0</v>
      </c>
      <c r="D35" s="39">
        <v>0</v>
      </c>
      <c r="E35" s="45">
        <f>TBL_Gifts[[#This Row],[REAL]]-TBL_Gifts[[#This Row],[ESTIMADO]]</f>
        <v>0</v>
      </c>
      <c r="F35" s="28"/>
      <c r="G35" s="23" t="s">
        <v>58</v>
      </c>
      <c r="H35" s="39">
        <v>0</v>
      </c>
      <c r="I35" s="39">
        <v>0</v>
      </c>
      <c r="J35" s="45">
        <f>TBL_Flowers[[#This Row],[REAL]]-TBL_Flowers[[#This Row],[ESTIMADO]]</f>
        <v>0</v>
      </c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2:26" ht="25.9" customHeight="1" x14ac:dyDescent="0.2">
      <c r="B36" s="23" t="s">
        <v>11</v>
      </c>
      <c r="C36" s="39">
        <v>0</v>
      </c>
      <c r="D36" s="39">
        <v>0</v>
      </c>
      <c r="E36" s="45">
        <f>TBL_Gifts[[#This Row],[REAL]]-TBL_Gifts[[#This Row],[ESTIMADO]]</f>
        <v>0</v>
      </c>
      <c r="F36" s="28"/>
      <c r="G36" s="23" t="s">
        <v>11</v>
      </c>
      <c r="H36" s="39">
        <v>0</v>
      </c>
      <c r="I36" s="39">
        <v>0</v>
      </c>
      <c r="J36" s="45">
        <f>TBL_Flowers[[#This Row],[REAL]]-TBL_Flowers[[#This Row],[ESTIMADO]]</f>
        <v>0</v>
      </c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2:26" ht="25.9" customHeight="1" x14ac:dyDescent="0.2">
      <c r="B37" s="25" t="s">
        <v>17</v>
      </c>
      <c r="C37" s="41">
        <f>SUBTOTAL(109,TBL_Gifts[ESTIMADO])</f>
        <v>1400</v>
      </c>
      <c r="D37" s="41">
        <f>SUBTOTAL(109,TBL_Gifts[REAL])</f>
        <v>1300</v>
      </c>
      <c r="E37" s="46">
        <f>SUBTOTAL(105,TBL_Gifts[DIFERENCIA])</f>
        <v>-100</v>
      </c>
      <c r="F37" s="28"/>
      <c r="G37" s="25" t="s">
        <v>59</v>
      </c>
      <c r="H37" s="41">
        <f>SUBTOTAL(109,TBL_Flowers[ESTIMADO])</f>
        <v>800</v>
      </c>
      <c r="I37" s="41">
        <f>SUBTOTAL(109,TBL_Flowers[REAL])</f>
        <v>800</v>
      </c>
      <c r="J37" s="46">
        <f>SUBTOTAL(109,TBL_Flowers[DIFERENCIA])</f>
        <v>0</v>
      </c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2:26" ht="25.9" customHeight="1" x14ac:dyDescent="0.2">
      <c r="B38" s="42"/>
      <c r="C38" s="42"/>
      <c r="D38" s="42"/>
      <c r="E38" s="42"/>
      <c r="F38" s="28"/>
      <c r="G38" s="31"/>
      <c r="H38" s="31"/>
      <c r="I38" s="31"/>
      <c r="J38" s="31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2:26" ht="25.9" customHeight="1" x14ac:dyDescent="0.2">
      <c r="B39" s="42"/>
      <c r="C39" s="42"/>
      <c r="D39" s="42"/>
      <c r="E39" s="42"/>
      <c r="F39" s="28"/>
      <c r="G39" s="31"/>
      <c r="H39" s="31"/>
      <c r="I39" s="31"/>
      <c r="J39" s="31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2:26" ht="25.9" customHeight="1" x14ac:dyDescent="0.2">
      <c r="B40" s="25" t="s">
        <v>18</v>
      </c>
      <c r="C40" s="41" t="s">
        <v>42</v>
      </c>
      <c r="D40" s="41" t="s">
        <v>43</v>
      </c>
      <c r="E40" s="26" t="s">
        <v>44</v>
      </c>
      <c r="F40" s="28"/>
      <c r="G40" s="25" t="s">
        <v>60</v>
      </c>
      <c r="H40" s="41" t="s">
        <v>42</v>
      </c>
      <c r="I40" s="41" t="s">
        <v>43</v>
      </c>
      <c r="J40" s="26" t="s">
        <v>44</v>
      </c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2:26" ht="25.9" customHeight="1" x14ac:dyDescent="0.2">
      <c r="B41" s="23" t="s">
        <v>19</v>
      </c>
      <c r="C41" s="39">
        <v>1200</v>
      </c>
      <c r="D41" s="39">
        <v>1250</v>
      </c>
      <c r="E41" s="45">
        <f>TBL_Music[[#This Row],[REAL]]-TBL_Music[[#This Row],[ESTIMADO]]</f>
        <v>50</v>
      </c>
      <c r="F41" s="28"/>
      <c r="G41" s="23" t="s">
        <v>61</v>
      </c>
      <c r="H41" s="39">
        <v>1200</v>
      </c>
      <c r="I41" s="39">
        <v>1200</v>
      </c>
      <c r="J41" s="45">
        <f>TBL_Photography[[#This Row],[REAL]]-TBL_Photography[[#This Row],[ESTIMADO]]</f>
        <v>0</v>
      </c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2:26" ht="25.9" customHeight="1" x14ac:dyDescent="0.2">
      <c r="B42" s="23" t="s">
        <v>20</v>
      </c>
      <c r="C42" s="39">
        <v>0</v>
      </c>
      <c r="D42" s="39">
        <v>0</v>
      </c>
      <c r="E42" s="45">
        <f>TBL_Music[[#This Row],[REAL]]-TBL_Music[[#This Row],[ESTIMADO]]</f>
        <v>0</v>
      </c>
      <c r="F42" s="28"/>
      <c r="G42" s="23" t="s">
        <v>62</v>
      </c>
      <c r="H42" s="39">
        <v>800</v>
      </c>
      <c r="I42" s="39">
        <v>800</v>
      </c>
      <c r="J42" s="45">
        <f>TBL_Photography[[#This Row],[REAL]]-TBL_Photography[[#This Row],[ESTIMADO]]</f>
        <v>0</v>
      </c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2:26" ht="25.9" customHeight="1" x14ac:dyDescent="0.2">
      <c r="B43" s="23" t="s">
        <v>11</v>
      </c>
      <c r="C43" s="39">
        <v>0</v>
      </c>
      <c r="D43" s="39">
        <v>0</v>
      </c>
      <c r="E43" s="45">
        <f>TBL_Music[[#This Row],[REAL]]-TBL_Music[[#This Row],[ESTIMADO]]</f>
        <v>0</v>
      </c>
      <c r="F43" s="28"/>
      <c r="G43" s="23" t="s">
        <v>63</v>
      </c>
      <c r="H43" s="39">
        <v>0</v>
      </c>
      <c r="I43" s="39">
        <v>0</v>
      </c>
      <c r="J43" s="45">
        <f>TBL_Photography[[#This Row],[REAL]]-TBL_Photography[[#This Row],[ESTIMADO]]</f>
        <v>0</v>
      </c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2:26" ht="25.9" customHeight="1" x14ac:dyDescent="0.2">
      <c r="B44" s="25" t="s">
        <v>21</v>
      </c>
      <c r="C44" s="41">
        <f>SUBTOTAL(109,TBL_Music[ESTIMADO])</f>
        <v>1200</v>
      </c>
      <c r="D44" s="41">
        <f>SUBTOTAL(109,TBL_Music[REAL])</f>
        <v>1250</v>
      </c>
      <c r="E44" s="46">
        <f>SUBTOTAL(109,TBL_Music[DIFERENCIA])</f>
        <v>50</v>
      </c>
      <c r="F44" s="28"/>
      <c r="G44" s="23" t="s">
        <v>64</v>
      </c>
      <c r="H44" s="39">
        <v>0</v>
      </c>
      <c r="I44" s="39">
        <v>0</v>
      </c>
      <c r="J44" s="45">
        <f>TBL_Photography[[#This Row],[REAL]]-TBL_Photography[[#This Row],[ESTIMADO]]</f>
        <v>0</v>
      </c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2:26" ht="25.9" customHeight="1" x14ac:dyDescent="0.2">
      <c r="B45" s="30"/>
      <c r="C45" s="30"/>
      <c r="D45" s="30"/>
      <c r="E45" s="30"/>
      <c r="F45" s="28"/>
      <c r="G45" s="23" t="s">
        <v>65</v>
      </c>
      <c r="H45" s="39">
        <v>950</v>
      </c>
      <c r="I45" s="39">
        <v>950</v>
      </c>
      <c r="J45" s="45">
        <f>TBL_Photography[[#This Row],[REAL]]-TBL_Photography[[#This Row],[ESTIMADO]]</f>
        <v>0</v>
      </c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2:26" ht="25.9" customHeight="1" x14ac:dyDescent="0.2">
      <c r="B46" s="30"/>
      <c r="C46" s="30"/>
      <c r="D46" s="30"/>
      <c r="E46" s="30"/>
      <c r="F46" s="28"/>
      <c r="G46" s="23" t="s">
        <v>11</v>
      </c>
      <c r="H46" s="39">
        <v>0</v>
      </c>
      <c r="I46" s="39">
        <v>0</v>
      </c>
      <c r="J46" s="45">
        <f>TBL_Photography[[#This Row],[REAL]]-TBL_Photography[[#This Row],[ESTIMADO]]</f>
        <v>0</v>
      </c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2:26" ht="25.9" customHeight="1" x14ac:dyDescent="0.2">
      <c r="B47" s="25" t="s">
        <v>22</v>
      </c>
      <c r="C47" s="41" t="s">
        <v>42</v>
      </c>
      <c r="D47" s="41" t="s">
        <v>43</v>
      </c>
      <c r="E47" s="26" t="s">
        <v>44</v>
      </c>
      <c r="F47" s="28"/>
      <c r="G47" s="25" t="s">
        <v>66</v>
      </c>
      <c r="H47" s="41">
        <f>SUBTOTAL(109,TBL_Photography[ESTIMADO])</f>
        <v>2950</v>
      </c>
      <c r="I47" s="41">
        <f>SUBTOTAL(109,TBL_Photography[REAL])</f>
        <v>2950</v>
      </c>
      <c r="J47" s="46">
        <f>SUBTOTAL(109,TBL_Photography[DIFERENCIA])</f>
        <v>0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2:26" ht="25.9" customHeight="1" x14ac:dyDescent="0.2">
      <c r="B48" s="23" t="s">
        <v>23</v>
      </c>
      <c r="C48" s="39">
        <v>5500</v>
      </c>
      <c r="D48" s="39">
        <v>5300</v>
      </c>
      <c r="E48" s="45">
        <f>TBL_Reception[[#This Row],[REAL]]-TBL_Reception[[#This Row],[ESTIMADO]]</f>
        <v>-200</v>
      </c>
      <c r="F48" s="28"/>
      <c r="G48" s="31"/>
      <c r="H48" s="31"/>
      <c r="I48" s="31"/>
      <c r="J48" s="31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2:26" ht="25.9" customHeight="1" x14ac:dyDescent="0.2">
      <c r="B49" s="23" t="s">
        <v>24</v>
      </c>
      <c r="C49" s="39">
        <v>0</v>
      </c>
      <c r="D49" s="39">
        <v>0</v>
      </c>
      <c r="E49" s="45">
        <f>TBL_Reception[[#This Row],[REAL]]-TBL_Reception[[#This Row],[ESTIMADO]]</f>
        <v>0</v>
      </c>
      <c r="F49" s="28"/>
      <c r="G49" s="31"/>
      <c r="H49" s="31"/>
      <c r="I49" s="31"/>
      <c r="J49" s="31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2:26" ht="25.9" customHeight="1" x14ac:dyDescent="0.2">
      <c r="B50" s="23" t="s">
        <v>25</v>
      </c>
      <c r="C50" s="39">
        <v>0</v>
      </c>
      <c r="D50" s="39">
        <v>0</v>
      </c>
      <c r="E50" s="45">
        <f>TBL_Reception[[#This Row],[REAL]]-TBL_Reception[[#This Row],[ESTIMADO]]</f>
        <v>0</v>
      </c>
      <c r="F50" s="28"/>
      <c r="G50" s="25" t="s">
        <v>67</v>
      </c>
      <c r="H50" s="41" t="s">
        <v>42</v>
      </c>
      <c r="I50" s="41" t="s">
        <v>43</v>
      </c>
      <c r="J50" s="26" t="s">
        <v>44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2:26" ht="25.9" customHeight="1" x14ac:dyDescent="0.2">
      <c r="B51" s="23" t="s">
        <v>26</v>
      </c>
      <c r="C51" s="39">
        <v>0</v>
      </c>
      <c r="D51" s="39">
        <v>0</v>
      </c>
      <c r="E51" s="45">
        <f>TBL_Reception[[#This Row],[REAL]]-TBL_Reception[[#This Row],[ESTIMADO]]</f>
        <v>0</v>
      </c>
      <c r="F51" s="28"/>
      <c r="G51" s="23" t="s">
        <v>68</v>
      </c>
      <c r="H51" s="39">
        <v>400</v>
      </c>
      <c r="I51" s="39">
        <v>400</v>
      </c>
      <c r="J51" s="45">
        <f>TBL_Stationery[[#This Row],[REAL]]-TBL_Stationery[[#This Row],[ESTIMADO]]</f>
        <v>0</v>
      </c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2:26" ht="25.9" customHeight="1" x14ac:dyDescent="0.2">
      <c r="B52" s="23" t="s">
        <v>27</v>
      </c>
      <c r="C52" s="39">
        <v>0</v>
      </c>
      <c r="D52" s="39">
        <v>0</v>
      </c>
      <c r="E52" s="45">
        <f>TBL_Reception[[#This Row],[REAL]]-TBL_Reception[[#This Row],[ESTIMADO]]</f>
        <v>0</v>
      </c>
      <c r="F52" s="28"/>
      <c r="G52" s="23" t="s">
        <v>69</v>
      </c>
      <c r="H52" s="39">
        <v>0</v>
      </c>
      <c r="I52" s="39">
        <v>0</v>
      </c>
      <c r="J52" s="45">
        <f>TBL_Stationery[[#This Row],[REAL]]-TBL_Stationery[[#This Row],[ESTIMADO]]</f>
        <v>0</v>
      </c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2:26" ht="25.9" customHeight="1" x14ac:dyDescent="0.2">
      <c r="B53" s="23" t="s">
        <v>28</v>
      </c>
      <c r="C53" s="39">
        <v>0</v>
      </c>
      <c r="D53" s="39">
        <v>0</v>
      </c>
      <c r="E53" s="45">
        <f>TBL_Reception[[#This Row],[REAL]]-TBL_Reception[[#This Row],[ESTIMADO]]</f>
        <v>0</v>
      </c>
      <c r="F53" s="28"/>
      <c r="G53" s="23" t="s">
        <v>70</v>
      </c>
      <c r="H53" s="39">
        <v>0</v>
      </c>
      <c r="I53" s="39">
        <v>0</v>
      </c>
      <c r="J53" s="45">
        <f>TBL_Stationery[[#This Row],[REAL]]-TBL_Stationery[[#This Row],[ESTIMADO]]</f>
        <v>0</v>
      </c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2:26" ht="25.9" customHeight="1" x14ac:dyDescent="0.2">
      <c r="B54" s="23" t="s">
        <v>29</v>
      </c>
      <c r="C54" s="39">
        <v>0</v>
      </c>
      <c r="D54" s="39">
        <v>0</v>
      </c>
      <c r="E54" s="45">
        <f>TBL_Reception[[#This Row],[REAL]]-TBL_Reception[[#This Row],[ESTIMADO]]</f>
        <v>0</v>
      </c>
      <c r="F54" s="28"/>
      <c r="G54" s="23" t="s">
        <v>71</v>
      </c>
      <c r="H54" s="39">
        <v>0</v>
      </c>
      <c r="I54" s="39">
        <v>0</v>
      </c>
      <c r="J54" s="45">
        <f>TBL_Stationery[[#This Row],[REAL]]-TBL_Stationery[[#This Row],[ESTIMADO]]</f>
        <v>0</v>
      </c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2:26" ht="25.9" customHeight="1" x14ac:dyDescent="0.2">
      <c r="B55" s="23" t="s">
        <v>30</v>
      </c>
      <c r="C55" s="39">
        <v>0</v>
      </c>
      <c r="D55" s="39">
        <v>0</v>
      </c>
      <c r="E55" s="45">
        <f>TBL_Reception[[#This Row],[REAL]]-TBL_Reception[[#This Row],[ESTIMADO]]</f>
        <v>0</v>
      </c>
      <c r="F55" s="28"/>
      <c r="G55" s="23" t="s">
        <v>72</v>
      </c>
      <c r="H55" s="39">
        <v>0</v>
      </c>
      <c r="I55" s="39">
        <v>0</v>
      </c>
      <c r="J55" s="45">
        <f>TBL_Stationery[[#This Row],[REAL]]-TBL_Stationery[[#This Row],[ESTIMADO]]</f>
        <v>0</v>
      </c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2:26" ht="25.9" customHeight="1" x14ac:dyDescent="0.2">
      <c r="B56" s="23" t="s">
        <v>11</v>
      </c>
      <c r="C56" s="39">
        <v>0</v>
      </c>
      <c r="D56" s="39">
        <v>0</v>
      </c>
      <c r="E56" s="45">
        <f>TBL_Reception[[#This Row],[REAL]]-TBL_Reception[[#This Row],[ESTIMADO]]</f>
        <v>0</v>
      </c>
      <c r="F56" s="28"/>
      <c r="G56" s="23" t="s">
        <v>73</v>
      </c>
      <c r="H56" s="39">
        <v>0</v>
      </c>
      <c r="I56" s="39">
        <v>0</v>
      </c>
      <c r="J56" s="45">
        <f>TBL_Stationery[[#This Row],[REAL]]-TBL_Stationery[[#This Row],[ESTIMADO]]</f>
        <v>0</v>
      </c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2:26" ht="25.9" customHeight="1" x14ac:dyDescent="0.2">
      <c r="B57" s="25" t="s">
        <v>31</v>
      </c>
      <c r="C57" s="41">
        <f>SUBTOTAL(109,TBL_Reception[ESTIMADO])</f>
        <v>5500</v>
      </c>
      <c r="D57" s="41">
        <f>SUBTOTAL(109,TBL_Reception[REAL])</f>
        <v>5300</v>
      </c>
      <c r="E57" s="46">
        <f>SUBTOTAL(109,TBL_Reception[DIFERENCIA])</f>
        <v>-200</v>
      </c>
      <c r="F57" s="28"/>
      <c r="G57" s="23" t="s">
        <v>74</v>
      </c>
      <c r="H57" s="39">
        <v>0</v>
      </c>
      <c r="I57" s="39">
        <v>0</v>
      </c>
      <c r="J57" s="45">
        <f>TBL_Stationery[[#This Row],[REAL]]-TBL_Stationery[[#This Row],[ESTIMADO]]</f>
        <v>0</v>
      </c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2:26" ht="25.9" customHeight="1" x14ac:dyDescent="0.2">
      <c r="B58" s="31"/>
      <c r="C58" s="31"/>
      <c r="D58" s="31"/>
      <c r="E58" s="31"/>
      <c r="F58" s="28"/>
      <c r="G58" s="23" t="s">
        <v>75</v>
      </c>
      <c r="H58" s="39">
        <v>0</v>
      </c>
      <c r="I58" s="39">
        <v>0</v>
      </c>
      <c r="J58" s="45">
        <f>TBL_Stationery[[#This Row],[REAL]]-TBL_Stationery[[#This Row],[ESTIMADO]]</f>
        <v>0</v>
      </c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2:26" ht="25.9" customHeight="1" x14ac:dyDescent="0.2">
      <c r="B59" s="31"/>
      <c r="C59" s="31"/>
      <c r="D59" s="31"/>
      <c r="E59" s="31"/>
      <c r="F59" s="28"/>
      <c r="G59" s="23" t="s">
        <v>76</v>
      </c>
      <c r="H59" s="39">
        <v>0</v>
      </c>
      <c r="I59" s="39">
        <v>0</v>
      </c>
      <c r="J59" s="45">
        <f>TBL_Stationery[[#This Row],[REAL]]-TBL_Stationery[[#This Row],[ESTIMADO]]</f>
        <v>0</v>
      </c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2:26" ht="25.9" customHeight="1" x14ac:dyDescent="0.2">
      <c r="B60" s="25" t="s">
        <v>32</v>
      </c>
      <c r="C60" s="41" t="s">
        <v>42</v>
      </c>
      <c r="D60" s="41" t="s">
        <v>43</v>
      </c>
      <c r="E60" s="26" t="s">
        <v>44</v>
      </c>
      <c r="F60" s="28"/>
      <c r="G60" s="23" t="s">
        <v>11</v>
      </c>
      <c r="H60" s="39">
        <v>0</v>
      </c>
      <c r="I60" s="39">
        <v>0</v>
      </c>
      <c r="J60" s="45">
        <f>TBL_Stationery[[#This Row],[REAL]]-TBL_Stationery[[#This Row],[ESTIMADO]]</f>
        <v>0</v>
      </c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2:26" ht="25.9" customHeight="1" x14ac:dyDescent="0.2">
      <c r="B61" s="23" t="s">
        <v>33</v>
      </c>
      <c r="C61" s="39">
        <v>300</v>
      </c>
      <c r="D61" s="39">
        <v>300</v>
      </c>
      <c r="E61" s="45">
        <f>TBL_OtherExpenses[[#This Row],[REAL]]-TBL_OtherExpenses[[#This Row],[ESTIMADO]]</f>
        <v>0</v>
      </c>
      <c r="F61" s="28"/>
      <c r="G61" s="25" t="s">
        <v>77</v>
      </c>
      <c r="H61" s="41">
        <f>SUBTOTAL(109,TBL_Stationery[ESTIMADO])</f>
        <v>400</v>
      </c>
      <c r="I61" s="41">
        <f>SUBTOTAL(109,TBL_Stationery[REAL])</f>
        <v>400</v>
      </c>
      <c r="J61" s="46">
        <f>SUBTOTAL(109,TBL_Stationery[DIFERENCIA])</f>
        <v>0</v>
      </c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2:26" ht="25.9" customHeight="1" x14ac:dyDescent="0.2">
      <c r="B62" s="23" t="s">
        <v>34</v>
      </c>
      <c r="C62" s="39">
        <v>0</v>
      </c>
      <c r="D62" s="39">
        <v>0</v>
      </c>
      <c r="E62" s="45">
        <f>TBL_OtherExpenses[[#This Row],[REAL]]-TBL_OtherExpenses[[#This Row],[ESTIMADO]]</f>
        <v>0</v>
      </c>
      <c r="F62" s="28"/>
      <c r="G62" s="31"/>
      <c r="H62" s="31"/>
      <c r="I62" s="31"/>
      <c r="J62" s="31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2:26" ht="25.9" customHeight="1" x14ac:dyDescent="0.2">
      <c r="B63" s="23" t="s">
        <v>35</v>
      </c>
      <c r="C63" s="39">
        <v>0</v>
      </c>
      <c r="D63" s="39">
        <v>0</v>
      </c>
      <c r="E63" s="45">
        <f>TBL_OtherExpenses[[#This Row],[REAL]]-TBL_OtherExpenses[[#This Row],[ESTIMADO]]</f>
        <v>0</v>
      </c>
      <c r="F63" s="28"/>
      <c r="G63" s="31"/>
      <c r="H63" s="31"/>
      <c r="I63" s="31"/>
      <c r="J63" s="31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2:26" ht="25.9" customHeight="1" x14ac:dyDescent="0.2">
      <c r="B64" s="23" t="s">
        <v>36</v>
      </c>
      <c r="C64" s="39">
        <v>0</v>
      </c>
      <c r="D64" s="39">
        <v>0</v>
      </c>
      <c r="E64" s="45">
        <f>TBL_OtherExpenses[[#This Row],[REAL]]-TBL_OtherExpenses[[#This Row],[ESTIMADO]]</f>
        <v>0</v>
      </c>
      <c r="F64" s="28"/>
      <c r="G64" s="25" t="s">
        <v>78</v>
      </c>
      <c r="H64" s="41" t="s">
        <v>42</v>
      </c>
      <c r="I64" s="41" t="s">
        <v>43</v>
      </c>
      <c r="J64" s="26" t="s">
        <v>44</v>
      </c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25.9" customHeight="1" x14ac:dyDescent="0.2">
      <c r="B65" s="23" t="s">
        <v>37</v>
      </c>
      <c r="C65" s="39">
        <v>0</v>
      </c>
      <c r="D65" s="39">
        <v>0</v>
      </c>
      <c r="E65" s="45">
        <f>TBL_OtherExpenses[[#This Row],[REAL]]-TBL_OtherExpenses[[#This Row],[ESTIMADO]]</f>
        <v>0</v>
      </c>
      <c r="F65" s="28"/>
      <c r="G65" s="23" t="s">
        <v>79</v>
      </c>
      <c r="H65" s="39">
        <v>900</v>
      </c>
      <c r="I65" s="39">
        <v>900</v>
      </c>
      <c r="J65" s="45">
        <f>TBL_Transportation[[#This Row],[REAL]]-TBL_Transportation[[#This Row],[ESTIMADO]]</f>
        <v>0</v>
      </c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25.9" customHeight="1" x14ac:dyDescent="0.2">
      <c r="B66" s="23" t="s">
        <v>38</v>
      </c>
      <c r="C66" s="39">
        <v>0</v>
      </c>
      <c r="D66" s="39">
        <v>0</v>
      </c>
      <c r="E66" s="45">
        <f>TBL_OtherExpenses[[#This Row],[REAL]]-TBL_OtherExpenses[[#This Row],[ESTIMADO]]</f>
        <v>0</v>
      </c>
      <c r="F66" s="28"/>
      <c r="G66" s="23" t="s">
        <v>80</v>
      </c>
      <c r="H66" s="39">
        <v>200</v>
      </c>
      <c r="I66" s="39">
        <v>200</v>
      </c>
      <c r="J66" s="45">
        <f>TBL_Transportation[[#This Row],[REAL]]-TBL_Transportation[[#This Row],[ESTIMADO]]</f>
        <v>0</v>
      </c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25.9" customHeight="1" x14ac:dyDescent="0.2">
      <c r="B67" s="23" t="s">
        <v>39</v>
      </c>
      <c r="C67" s="39">
        <v>0</v>
      </c>
      <c r="D67" s="39">
        <v>0</v>
      </c>
      <c r="E67" s="45">
        <f>TBL_OtherExpenses[[#This Row],[REAL]]-TBL_OtherExpenses[[#This Row],[ESTIMADO]]</f>
        <v>0</v>
      </c>
      <c r="F67" s="28"/>
      <c r="G67" s="23" t="s">
        <v>81</v>
      </c>
      <c r="H67" s="39">
        <v>350</v>
      </c>
      <c r="I67" s="39">
        <v>300</v>
      </c>
      <c r="J67" s="45">
        <f>TBL_Transportation[[#This Row],[REAL]]-TBL_Transportation[[#This Row],[ESTIMADO]]</f>
        <v>-50</v>
      </c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25.9" customHeight="1" x14ac:dyDescent="0.2">
      <c r="B68" s="23" t="s">
        <v>40</v>
      </c>
      <c r="C68" s="39">
        <v>0</v>
      </c>
      <c r="D68" s="39">
        <v>0</v>
      </c>
      <c r="E68" s="45">
        <f>TBL_OtherExpenses[[#This Row],[REAL]]-TBL_OtherExpenses[[#This Row],[ESTIMADO]]</f>
        <v>0</v>
      </c>
      <c r="F68" s="28"/>
      <c r="G68" s="23" t="s">
        <v>11</v>
      </c>
      <c r="H68" s="39">
        <v>0</v>
      </c>
      <c r="I68" s="39">
        <v>0</v>
      </c>
      <c r="J68" s="45">
        <f>TBL_Transportation[[#This Row],[REAL]]-TBL_Transportation[[#This Row],[ESTIMADO]]</f>
        <v>0</v>
      </c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25.9" customHeight="1" x14ac:dyDescent="0.2">
      <c r="B69" s="25" t="s">
        <v>41</v>
      </c>
      <c r="C69" s="41">
        <f>SUBTOTAL(109,TBL_OtherExpenses[ESTIMADO])</f>
        <v>300</v>
      </c>
      <c r="D69" s="41">
        <f>SUBTOTAL(109,TBL_OtherExpenses[REAL])</f>
        <v>300</v>
      </c>
      <c r="E69" s="46">
        <f>SUBTOTAL(109,TBL_OtherExpenses[DIFERENCIA])</f>
        <v>0</v>
      </c>
      <c r="F69" s="28"/>
      <c r="G69" s="25" t="s">
        <v>82</v>
      </c>
      <c r="H69" s="41">
        <f>SUBTOTAL(109,TBL_Transportation[ESTIMADO])</f>
        <v>1450</v>
      </c>
      <c r="I69" s="41">
        <f>SUBTOTAL(109,TBL_Transportation[REAL])</f>
        <v>1400</v>
      </c>
      <c r="J69" s="46">
        <f>SUBTOTAL(109,TBL_Transportation[DIFERENCIA])</f>
        <v>-50</v>
      </c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6.149999999999999" customHeight="1" x14ac:dyDescent="0.2">
      <c r="A70" s="9"/>
      <c r="B70" s="32"/>
      <c r="C70" s="43"/>
      <c r="D70" s="43"/>
      <c r="E70" s="28"/>
      <c r="F70" s="28"/>
      <c r="G70" s="33"/>
      <c r="H70" s="43"/>
      <c r="I70" s="43"/>
      <c r="J70" s="28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6.149999999999999" customHeight="1" x14ac:dyDescent="0.2">
      <c r="A71" s="9"/>
      <c r="B71" s="32"/>
      <c r="C71" s="44"/>
      <c r="D71" s="44"/>
      <c r="E71" s="34"/>
      <c r="F71" s="34"/>
      <c r="G71" s="32"/>
      <c r="H71" s="44"/>
      <c r="I71" s="44"/>
      <c r="J71" s="34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6.149999999999999" customHeight="1" x14ac:dyDescent="0.2">
      <c r="A72" s="9"/>
      <c r="B72" s="32"/>
      <c r="C72" s="44"/>
      <c r="D72" s="44"/>
      <c r="E72" s="34"/>
      <c r="F72" s="34"/>
      <c r="G72" s="32"/>
      <c r="H72" s="44"/>
      <c r="I72" s="44"/>
      <c r="J72" s="34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6.149999999999999" customHeight="1" x14ac:dyDescent="0.2">
      <c r="A73" s="9"/>
      <c r="B73" s="32"/>
      <c r="C73" s="44"/>
      <c r="D73" s="44"/>
      <c r="E73" s="34"/>
      <c r="F73" s="34"/>
      <c r="G73" s="32"/>
      <c r="H73" s="44"/>
      <c r="I73" s="44"/>
      <c r="J73" s="34"/>
      <c r="K73" s="9"/>
    </row>
    <row r="74" spans="1:26" ht="16.149999999999999" customHeight="1" x14ac:dyDescent="0.2">
      <c r="A74" s="9"/>
      <c r="B74" s="32"/>
      <c r="C74" s="44"/>
      <c r="D74" s="44"/>
      <c r="E74" s="34"/>
      <c r="F74" s="34"/>
      <c r="G74" s="32"/>
      <c r="H74" s="44"/>
      <c r="I74" s="44"/>
      <c r="J74" s="34"/>
      <c r="K74" s="9"/>
    </row>
    <row r="75" spans="1:26" ht="16.149999999999999" customHeight="1" x14ac:dyDescent="0.2">
      <c r="A75" s="9"/>
      <c r="B75" s="32"/>
      <c r="C75" s="44"/>
      <c r="D75" s="44"/>
      <c r="E75" s="34"/>
      <c r="F75" s="34"/>
      <c r="G75" s="32"/>
      <c r="H75" s="44"/>
      <c r="I75" s="44"/>
      <c r="J75" s="34"/>
      <c r="K75" s="9"/>
    </row>
    <row r="76" spans="1:26" ht="16.149999999999999" customHeight="1" x14ac:dyDescent="0.2">
      <c r="A76" s="9"/>
      <c r="B76" s="32"/>
      <c r="C76" s="44"/>
      <c r="D76" s="44"/>
      <c r="E76" s="34"/>
      <c r="F76" s="34"/>
      <c r="G76" s="32"/>
      <c r="H76" s="44"/>
      <c r="I76" s="44"/>
      <c r="J76" s="34"/>
      <c r="K76" s="9"/>
    </row>
    <row r="77" spans="1:26" ht="16.149999999999999" customHeight="1" x14ac:dyDescent="0.2">
      <c r="A77" s="9"/>
      <c r="B77" s="32"/>
      <c r="C77" s="44"/>
      <c r="D77" s="44"/>
      <c r="E77" s="34"/>
      <c r="F77" s="34"/>
      <c r="G77" s="32"/>
      <c r="H77" s="44"/>
      <c r="I77" s="44"/>
      <c r="J77" s="34"/>
      <c r="K77" s="9"/>
    </row>
    <row r="78" spans="1:26" ht="16.149999999999999" customHeight="1" x14ac:dyDescent="0.2">
      <c r="A78" s="9"/>
      <c r="B78" s="32"/>
      <c r="C78" s="44"/>
      <c r="D78" s="44"/>
      <c r="E78" s="34"/>
      <c r="F78" s="34"/>
      <c r="G78" s="32"/>
      <c r="H78" s="44"/>
      <c r="I78" s="44"/>
      <c r="J78" s="34"/>
      <c r="K78" s="9"/>
    </row>
    <row r="79" spans="1:26" ht="16.149999999999999" customHeight="1" x14ac:dyDescent="0.2">
      <c r="A79" s="9"/>
      <c r="B79" s="32"/>
      <c r="C79" s="44"/>
      <c r="D79" s="44"/>
      <c r="E79" s="34"/>
      <c r="F79" s="34"/>
      <c r="G79" s="32"/>
      <c r="H79" s="44"/>
      <c r="I79" s="44"/>
      <c r="J79" s="34"/>
      <c r="K79" s="9"/>
    </row>
    <row r="80" spans="1:26" ht="16.149999999999999" customHeight="1" x14ac:dyDescent="0.2">
      <c r="A80" s="9"/>
      <c r="B80" s="32"/>
      <c r="C80" s="44"/>
      <c r="D80" s="44"/>
      <c r="E80" s="34"/>
      <c r="F80" s="34"/>
      <c r="G80" s="32"/>
      <c r="H80" s="44"/>
      <c r="I80" s="44"/>
      <c r="J80" s="34"/>
      <c r="K80" s="9"/>
    </row>
    <row r="81" spans="1:11" ht="16.149999999999999" customHeight="1" x14ac:dyDescent="0.2">
      <c r="A81" s="9"/>
      <c r="B81" s="32"/>
      <c r="C81" s="44"/>
      <c r="D81" s="44"/>
      <c r="E81" s="34"/>
      <c r="F81" s="34"/>
      <c r="G81" s="32"/>
      <c r="H81" s="44"/>
      <c r="I81" s="44"/>
      <c r="J81" s="34"/>
      <c r="K81" s="9"/>
    </row>
    <row r="82" spans="1:11" ht="16.149999999999999" customHeight="1" x14ac:dyDescent="0.2">
      <c r="A82" s="9"/>
      <c r="B82" s="32"/>
      <c r="C82" s="44"/>
      <c r="D82" s="44"/>
      <c r="E82" s="34"/>
      <c r="F82" s="34"/>
      <c r="G82" s="32"/>
      <c r="H82" s="44"/>
      <c r="I82" s="44"/>
      <c r="J82" s="34"/>
      <c r="K82" s="9"/>
    </row>
    <row r="83" spans="1:11" ht="16.149999999999999" customHeight="1" x14ac:dyDescent="0.2">
      <c r="A83" s="9"/>
      <c r="B83" s="32"/>
      <c r="C83" s="44"/>
      <c r="D83" s="44"/>
      <c r="E83" s="34"/>
      <c r="F83" s="34"/>
      <c r="G83" s="32"/>
      <c r="H83" s="44"/>
      <c r="I83" s="44"/>
      <c r="J83" s="34"/>
      <c r="K83" s="9"/>
    </row>
    <row r="84" spans="1:11" ht="16.149999999999999" customHeight="1" x14ac:dyDescent="0.2">
      <c r="A84" s="9"/>
      <c r="B84" s="32"/>
      <c r="C84" s="44"/>
      <c r="D84" s="44"/>
      <c r="E84" s="34"/>
      <c r="F84" s="34"/>
      <c r="G84" s="32"/>
      <c r="H84" s="44"/>
      <c r="I84" s="44"/>
      <c r="J84" s="34"/>
      <c r="K84" s="9"/>
    </row>
    <row r="85" spans="1:11" ht="16.149999999999999" customHeight="1" x14ac:dyDescent="0.2">
      <c r="A85" s="9"/>
      <c r="B85" s="32"/>
      <c r="C85" s="44"/>
      <c r="D85" s="44"/>
      <c r="E85" s="34"/>
      <c r="F85" s="34"/>
      <c r="G85" s="32"/>
      <c r="H85" s="44"/>
      <c r="I85" s="44"/>
      <c r="J85" s="34"/>
      <c r="K85" s="9"/>
    </row>
    <row r="86" spans="1:11" ht="16.149999999999999" customHeight="1" x14ac:dyDescent="0.2">
      <c r="A86" s="9"/>
      <c r="B86" s="32"/>
      <c r="C86" s="44"/>
      <c r="D86" s="44"/>
      <c r="E86" s="34"/>
      <c r="F86" s="34"/>
      <c r="G86" s="32"/>
      <c r="H86" s="44"/>
      <c r="I86" s="44"/>
      <c r="J86" s="34"/>
      <c r="K86" s="9"/>
    </row>
    <row r="87" spans="1:11" ht="16.149999999999999" customHeight="1" x14ac:dyDescent="0.2">
      <c r="A87" s="9"/>
      <c r="B87" s="32"/>
      <c r="C87" s="44"/>
      <c r="D87" s="44"/>
      <c r="E87" s="34"/>
      <c r="F87" s="34"/>
      <c r="G87" s="32"/>
      <c r="H87" s="44"/>
      <c r="I87" s="44"/>
      <c r="J87" s="34"/>
      <c r="K87" s="9"/>
    </row>
    <row r="88" spans="1:11" ht="16.149999999999999" customHeight="1" x14ac:dyDescent="0.2">
      <c r="A88" s="9"/>
      <c r="B88" s="32"/>
      <c r="C88" s="44"/>
      <c r="D88" s="44"/>
      <c r="E88" s="34"/>
      <c r="F88" s="34"/>
      <c r="G88" s="32"/>
      <c r="H88" s="44"/>
      <c r="I88" s="44"/>
      <c r="J88" s="34"/>
      <c r="K88" s="9"/>
    </row>
    <row r="89" spans="1:11" ht="16.149999999999999" customHeight="1" x14ac:dyDescent="0.2">
      <c r="A89" s="9"/>
      <c r="B89" s="32"/>
      <c r="C89" s="44"/>
      <c r="D89" s="44"/>
      <c r="E89" s="34"/>
      <c r="F89" s="34"/>
      <c r="G89" s="32"/>
      <c r="H89" s="44"/>
      <c r="I89" s="44"/>
      <c r="J89" s="34"/>
      <c r="K89" s="9"/>
    </row>
    <row r="90" spans="1:11" ht="16.149999999999999" customHeight="1" x14ac:dyDescent="0.2">
      <c r="A90" s="9"/>
      <c r="B90" s="10"/>
      <c r="C90" s="37"/>
      <c r="D90" s="37"/>
      <c r="E90" s="9"/>
      <c r="F90" s="9"/>
      <c r="G90" s="10"/>
      <c r="H90" s="37"/>
      <c r="I90" s="37"/>
      <c r="J90" s="9"/>
      <c r="K90" s="9"/>
    </row>
    <row r="91" spans="1:11" ht="16.149999999999999" customHeight="1" x14ac:dyDescent="0.2">
      <c r="A91" s="9"/>
      <c r="B91" s="10"/>
      <c r="C91" s="37"/>
      <c r="D91" s="37"/>
      <c r="E91" s="9"/>
      <c r="F91" s="9"/>
      <c r="G91" s="10"/>
      <c r="H91" s="37"/>
      <c r="I91" s="37"/>
      <c r="J91" s="9"/>
      <c r="K91" s="9"/>
    </row>
    <row r="92" spans="1:11" ht="16.149999999999999" customHeight="1" x14ac:dyDescent="0.2">
      <c r="A92" s="9"/>
      <c r="B92" s="10"/>
      <c r="C92" s="37"/>
      <c r="D92" s="37"/>
      <c r="E92" s="9"/>
      <c r="F92" s="9"/>
      <c r="G92" s="10"/>
      <c r="H92" s="37"/>
      <c r="I92" s="37"/>
      <c r="J92" s="9"/>
      <c r="K92" s="9"/>
    </row>
    <row r="93" spans="1:11" ht="16.149999999999999" customHeight="1" x14ac:dyDescent="0.2">
      <c r="A93" s="9"/>
      <c r="B93" s="10"/>
      <c r="C93" s="37"/>
      <c r="D93" s="37"/>
      <c r="E93" s="9"/>
      <c r="F93" s="9"/>
      <c r="G93" s="10"/>
      <c r="H93" s="37"/>
      <c r="I93" s="37"/>
      <c r="J93" s="9"/>
      <c r="K93" s="9"/>
    </row>
    <row r="94" spans="1:11" ht="16.149999999999999" customHeight="1" x14ac:dyDescent="0.2">
      <c r="A94" s="9"/>
      <c r="B94" s="10"/>
      <c r="C94" s="37"/>
      <c r="D94" s="37"/>
      <c r="E94" s="9"/>
      <c r="F94" s="9"/>
      <c r="G94" s="10"/>
      <c r="H94" s="37"/>
      <c r="I94" s="37"/>
      <c r="J94" s="9"/>
      <c r="K94" s="9"/>
    </row>
    <row r="95" spans="1:11" ht="16.149999999999999" customHeight="1" x14ac:dyDescent="0.2">
      <c r="A95" s="9"/>
      <c r="B95" s="10"/>
      <c r="C95" s="37"/>
      <c r="D95" s="37"/>
      <c r="E95" s="9"/>
      <c r="F95" s="9"/>
      <c r="G95" s="10"/>
      <c r="H95" s="37"/>
      <c r="I95" s="37"/>
      <c r="J95" s="9"/>
      <c r="K95" s="9"/>
    </row>
    <row r="96" spans="1:11" ht="16.149999999999999" customHeight="1" x14ac:dyDescent="0.2">
      <c r="A96" s="9"/>
      <c r="B96" s="10"/>
      <c r="C96" s="37"/>
      <c r="D96" s="37"/>
      <c r="E96" s="9"/>
      <c r="F96" s="9"/>
      <c r="G96" s="10"/>
      <c r="H96" s="37"/>
      <c r="I96" s="37"/>
      <c r="J96" s="9"/>
      <c r="K96" s="9"/>
    </row>
    <row r="97" spans="1:11" ht="16.149999999999999" customHeight="1" x14ac:dyDescent="0.2">
      <c r="A97" s="9"/>
      <c r="B97" s="10"/>
      <c r="C97" s="37"/>
      <c r="D97" s="37"/>
      <c r="E97" s="9"/>
      <c r="F97" s="9"/>
      <c r="G97" s="10"/>
      <c r="H97" s="37"/>
      <c r="I97" s="37"/>
      <c r="J97" s="9"/>
      <c r="K97" s="9"/>
    </row>
    <row r="98" spans="1:11" ht="16.149999999999999" customHeight="1" x14ac:dyDescent="0.2">
      <c r="A98" s="9"/>
      <c r="B98" s="10"/>
      <c r="C98" s="37"/>
      <c r="D98" s="37"/>
      <c r="E98" s="9"/>
      <c r="F98" s="9"/>
      <c r="G98" s="10"/>
      <c r="H98" s="37"/>
      <c r="I98" s="37"/>
      <c r="J98" s="9"/>
      <c r="K98" s="9"/>
    </row>
    <row r="99" spans="1:11" ht="16.149999999999999" customHeight="1" x14ac:dyDescent="0.2">
      <c r="A99" s="9"/>
      <c r="B99" s="10"/>
      <c r="C99" s="37"/>
      <c r="D99" s="37"/>
      <c r="E99" s="9"/>
      <c r="F99" s="9"/>
      <c r="G99" s="10"/>
      <c r="H99" s="37"/>
      <c r="I99" s="37"/>
      <c r="J99" s="9"/>
      <c r="K99" s="9"/>
    </row>
    <row r="100" spans="1:11" ht="16.149999999999999" customHeight="1" x14ac:dyDescent="0.2">
      <c r="A100" s="9"/>
      <c r="B100" s="10"/>
      <c r="C100" s="37"/>
      <c r="D100" s="37"/>
      <c r="E100" s="9"/>
      <c r="F100" s="9"/>
      <c r="G100" s="10"/>
      <c r="H100" s="37"/>
      <c r="I100" s="37"/>
      <c r="J100" s="9"/>
      <c r="K100" s="9"/>
    </row>
    <row r="101" spans="1:11" ht="16.149999999999999" customHeight="1" x14ac:dyDescent="0.2">
      <c r="A101" s="9"/>
      <c r="B101" s="10"/>
      <c r="C101" s="37"/>
      <c r="D101" s="37"/>
      <c r="E101" s="9"/>
      <c r="F101" s="9"/>
      <c r="G101" s="10"/>
      <c r="H101" s="37"/>
      <c r="I101" s="37"/>
      <c r="J101" s="9"/>
      <c r="K101" s="9"/>
    </row>
    <row r="102" spans="1:11" ht="16.149999999999999" customHeight="1" x14ac:dyDescent="0.2">
      <c r="A102" s="9"/>
      <c r="B102" s="10"/>
      <c r="C102" s="37"/>
      <c r="D102" s="37"/>
      <c r="E102" s="9"/>
      <c r="F102" s="9"/>
      <c r="G102" s="10"/>
      <c r="H102" s="37"/>
      <c r="I102" s="37"/>
      <c r="J102" s="9"/>
      <c r="K102" s="9"/>
    </row>
    <row r="103" spans="1:11" ht="16.149999999999999" customHeight="1" x14ac:dyDescent="0.2">
      <c r="A103" s="9"/>
      <c r="B103" s="10"/>
      <c r="C103" s="37"/>
      <c r="D103" s="37"/>
      <c r="E103" s="9"/>
      <c r="F103" s="9"/>
      <c r="G103" s="10"/>
      <c r="H103" s="37"/>
      <c r="I103" s="37"/>
      <c r="J103" s="9"/>
      <c r="K103" s="9"/>
    </row>
  </sheetData>
  <mergeCells count="1">
    <mergeCell ref="B2:J2"/>
  </mergeCells>
  <phoneticPr fontId="33"/>
  <conditionalFormatting sqref="E6:E16 E21:E29 E33:E37 E41:E44 E48:E57 E61:E69 J21:J27 J31:J37 J41:J47 J51:J61 J65:J69">
    <cfRule type="iconSet" priority="9">
      <iconSet iconSet="3ArrowsGray" showValue="0">
        <cfvo type="percent" val="0"/>
        <cfvo type="num" val="0"/>
        <cfvo type="num" val="0" gte="0"/>
      </iconSet>
    </cfRule>
  </conditionalFormatting>
  <dataValidations count="13">
    <dataValidation allowBlank="1" showInputMessage="1" showErrorMessage="1" prompt="Gráfico que resume los gastos reales organizados en orden descendente" sqref="G6" xr:uid="{00000000-0002-0000-0000-000000000000}"/>
    <dataValidation allowBlank="1" showInputMessage="1" showErrorMessage="1" prompt="Introduzca los detalles del presupuesto en la categoría Vestimenta" sqref="B20" xr:uid="{00000000-0002-0000-0000-000003000000}"/>
    <dataValidation allowBlank="1" showInputMessage="1" showErrorMessage="1" prompt="Introduzca los detalles del presupuesto en la categoría Regalos" sqref="B32" xr:uid="{00000000-0002-0000-0000-000004000000}"/>
    <dataValidation allowBlank="1" showInputMessage="1" showErrorMessage="1" prompt="Introduzca los detalles del presupuesto en la categoría Música" sqref="B40" xr:uid="{00000000-0002-0000-0000-000005000000}"/>
    <dataValidation allowBlank="1" showInputMessage="1" showErrorMessage="1" prompt="Introduzca los detalles del presupuesto en la categoría Banquete" sqref="B47" xr:uid="{00000000-0002-0000-0000-000006000000}"/>
    <dataValidation allowBlank="1" showInputMessage="1" showErrorMessage="1" prompt="Introduzca los detalles del presupuesto en Otros gastos" sqref="B60" xr:uid="{00000000-0002-0000-0000-000007000000}"/>
    <dataValidation allowBlank="1" showInputMessage="1" showErrorMessage="1" prompt="Introduzca los detalles del presupuesto en la categoría Decoración" sqref="G20" xr:uid="{00000000-0002-0000-0000-000008000000}"/>
    <dataValidation allowBlank="1" showInputMessage="1" showErrorMessage="1" prompt="Introduzca los detalles del presupuesto en la categoría Flores" sqref="G30" xr:uid="{00000000-0002-0000-0000-000009000000}"/>
    <dataValidation allowBlank="1" showInputMessage="1" showErrorMessage="1" prompt="Introduzca los detalles del presupuesto en la categoría Fotografía" sqref="G40" xr:uid="{00000000-0002-0000-0000-00000A000000}"/>
    <dataValidation allowBlank="1" showInputMessage="1" showErrorMessage="1" prompt="Introduzca los detalles del presupuesto en la categoría Papelería e impresión" sqref="G50" xr:uid="{00000000-0002-0000-0000-00000B000000}"/>
    <dataValidation allowBlank="1" showInputMessage="1" showErrorMessage="1" prompt="Introduzca los detalles del presupuesto en la categoría Transporte" sqref="G64" xr:uid="{00000000-0002-0000-0000-00000C000000}"/>
    <dataValidation allowBlank="1" showInputMessage="1" showErrorMessage="1" prompt="Las categorías de esta lista se corresponden a las tablas siguientes. Actualice la información en ellas para que los datos de esta tabla se actualicen automáticamente. Las fórmulas de esta tabla están conectadas a las tablas relacionadas a continuación." sqref="B5" xr:uid="{08549B67-1452-4EB6-BE6D-1E91DB254F37}"/>
    <dataValidation allowBlank="1" showInputMessage="1" showErrorMessage="1" prompt="La información de esta columna de la tabla Resumen se calcula automáticamente en función de la información proporcionada en las tablas de datos siguientes." sqref="C5:E5" xr:uid="{00000000-0002-0000-0000-000002000000}"/>
  </dataValidations>
  <printOptions horizontalCentered="1"/>
  <pageMargins left="0.4" right="0.4" top="0.4" bottom="0.4" header="0.3" footer="0.3"/>
  <pageSetup paperSize="9" scale="44" orientation="portrait" horizontalDpi="4294967293" r:id="rId1"/>
  <ignoredErrors>
    <ignoredError sqref="J31:J36 E33:E36 B21:E28 G21:J26 B6:E15 B41:E43 G41:J46 B48:E56 G51:J60 B61:E68 J65 G66:J68 G65:I65" calculatedColumn="1"/>
  </ignoredErrors>
  <drawing r:id="rId2"/>
  <tableParts count="11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3.xml><?xml version="1.0" encoding="utf-8"?>
<ds:datastoreItem xmlns:ds="http://schemas.openxmlformats.org/officeDocument/2006/customXml" ds:itemID="{5BABDA6A-20F0-4FB7-8328-152424AE53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2.xml><?xml version="1.0" encoding="utf-8"?>
<ds:datastoreItem xmlns:ds="http://schemas.openxmlformats.org/officeDocument/2006/customXml" ds:itemID="{08A4CBEA-7430-4085-B0C0-2A7D237D483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31.xml><?xml version="1.0" encoding="utf-8"?>
<ds:datastoreItem xmlns:ds="http://schemas.openxmlformats.org/officeDocument/2006/customXml" ds:itemID="{2428D3AA-052B-4F36-BCDA-50681233D2A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TM22305013</ap:Template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ap:HeadingPairs>
  <ap:TitlesOfParts>
    <vt:vector baseType="lpstr" size="2">
      <vt:lpstr>Presupuesto para boda</vt:lpstr>
      <vt:lpstr>'Presupuesto para boda'!Print_Area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2022-11-28T06:21:19Z</dcterms:created>
  <dcterms:modified xsi:type="dcterms:W3CDTF">2023-09-14T02:22:43Z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